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tabRatio="811" activeTab="0"/>
  </bookViews>
  <sheets>
    <sheet name="Computation" sheetId="1" r:id="rId1"/>
    <sheet name="Tables" sheetId="2" r:id="rId2"/>
  </sheets>
  <definedNames>
    <definedName name="aaa">'Tables'!#REF!</definedName>
    <definedName name="abc">'Tables'!#REF!</definedName>
    <definedName name="cccc1">#REF!</definedName>
    <definedName name="desky">'Tables'!$C$5:$C$10</definedName>
    <definedName name="EXTRACT" localSheetId="0">'Computation'!$R$101:$R$110</definedName>
    <definedName name="CRITERIA" localSheetId="0">'Computation'!$P$86:$P$87</definedName>
  </definedNames>
  <calcPr fullCalcOnLoad="1"/>
</workbook>
</file>

<file path=xl/comments2.xml><?xml version="1.0" encoding="utf-8"?>
<comments xmlns="http://schemas.openxmlformats.org/spreadsheetml/2006/main">
  <authors>
    <author>Pepa</author>
    <author>Josef Fl?dr</author>
  </authors>
  <commentList>
    <comment ref="L55" authorId="0">
      <text>
        <r>
          <rPr>
            <b/>
            <sz val="8"/>
            <rFont val="Tahoma"/>
            <family val="2"/>
          </rPr>
          <t xml:space="preserve">Krychelná pevnost
</t>
        </r>
      </text>
    </comment>
    <comment ref="M55" authorId="0">
      <text>
        <r>
          <rPr>
            <b/>
            <sz val="8"/>
            <rFont val="Tahoma"/>
            <family val="2"/>
          </rPr>
          <t xml:space="preserve">Válcová pevnost
</t>
        </r>
      </text>
    </comment>
    <comment ref="N55" authorId="0">
      <text>
        <r>
          <rPr>
            <b/>
            <sz val="8"/>
            <rFont val="Tahoma"/>
            <family val="2"/>
          </rPr>
          <t xml:space="preserve">Střední hodnota tlaku
</t>
        </r>
        <r>
          <rPr>
            <sz val="8"/>
            <rFont val="Tahoma"/>
            <family val="2"/>
          </rPr>
          <t xml:space="preserve">
</t>
        </r>
      </text>
    </comment>
    <comment ref="O55" authorId="0">
      <text>
        <r>
          <rPr>
            <b/>
            <sz val="8"/>
            <rFont val="Tahoma"/>
            <family val="2"/>
          </rPr>
          <t>Střední hodnota tahu</t>
        </r>
        <r>
          <rPr>
            <sz val="8"/>
            <rFont val="Tahoma"/>
            <family val="2"/>
          </rPr>
          <t xml:space="preserve">
</t>
        </r>
      </text>
    </comment>
    <comment ref="P55" authorId="0">
      <text>
        <r>
          <rPr>
            <b/>
            <sz val="8"/>
            <rFont val="Tahoma"/>
            <family val="2"/>
          </rPr>
          <t>5% kvantil tahu</t>
        </r>
        <r>
          <rPr>
            <sz val="8"/>
            <rFont val="Tahoma"/>
            <family val="2"/>
          </rPr>
          <t xml:space="preserve">
</t>
        </r>
      </text>
    </comment>
    <comment ref="Q55" authorId="0">
      <text>
        <r>
          <rPr>
            <b/>
            <sz val="8"/>
            <rFont val="Tahoma"/>
            <family val="2"/>
          </rPr>
          <t>95% hodnoty tahu</t>
        </r>
        <r>
          <rPr>
            <sz val="8"/>
            <rFont val="Tahoma"/>
            <family val="2"/>
          </rPr>
          <t xml:space="preserve">
</t>
        </r>
      </text>
    </comment>
    <comment ref="R55" authorId="0">
      <text>
        <r>
          <rPr>
            <b/>
            <sz val="8"/>
            <rFont val="Tahoma"/>
            <family val="2"/>
          </rPr>
          <t xml:space="preserve">Střední mohl pružnosti
</t>
        </r>
        <r>
          <rPr>
            <sz val="8"/>
            <rFont val="Tahoma"/>
            <family val="2"/>
          </rPr>
          <t xml:space="preserve">
</t>
        </r>
      </text>
    </comment>
    <comment ref="S55" authorId="1">
      <text>
        <r>
          <rPr>
            <b/>
            <sz val="8"/>
            <rFont val="Tahoma"/>
            <family val="2"/>
          </rPr>
          <t xml:space="preserve">Přetvoření
</t>
        </r>
        <r>
          <rPr>
            <sz val="8"/>
            <rFont val="Tahoma"/>
            <family val="2"/>
          </rPr>
          <t xml:space="preserve">
</t>
        </r>
      </text>
    </comment>
    <comment ref="L73" authorId="0">
      <text>
        <r>
          <rPr>
            <b/>
            <sz val="8"/>
            <rFont val="Tahoma"/>
            <family val="2"/>
          </rPr>
          <t>Tah</t>
        </r>
        <r>
          <rPr>
            <sz val="8"/>
            <rFont val="Tahoma"/>
            <family val="2"/>
          </rPr>
          <t xml:space="preserve">
</t>
        </r>
      </text>
    </comment>
    <comment ref="M73" authorId="0">
      <text>
        <r>
          <rPr>
            <b/>
            <sz val="8"/>
            <rFont val="Tahoma"/>
            <family val="2"/>
          </rPr>
          <t>Tlak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<sst xmlns="http://schemas.openxmlformats.org/spreadsheetml/2006/main" count="957" uniqueCount="496">
  <si>
    <t>E</t>
  </si>
  <si>
    <t>A. Dřevo a výrobky ze dřeva</t>
  </si>
  <si>
    <t>smrk, borovice, cedr, jedle, olše, topol, lípa</t>
  </si>
  <si>
    <t>modřín</t>
  </si>
  <si>
    <t>dub, bříza, buk, jasan, habr, akát, jilm, ořech</t>
  </si>
  <si>
    <t>eben</t>
  </si>
  <si>
    <t>desky</t>
  </si>
  <si>
    <t>dřevotřískové lisované plné</t>
  </si>
  <si>
    <t>dřevovláknité nelisované měkké (hobra)</t>
  </si>
  <si>
    <t>dřevovláknité tvrdé (sololit)</t>
  </si>
  <si>
    <t>dřevocementové (heraklit, lignopor)</t>
  </si>
  <si>
    <t>lignátové</t>
  </si>
  <si>
    <t>pilinové</t>
  </si>
  <si>
    <t>překližky</t>
  </si>
  <si>
    <t>B. Kovy</t>
  </si>
  <si>
    <t>hliník</t>
  </si>
  <si>
    <t>slitiny hliníku</t>
  </si>
  <si>
    <t>litina</t>
  </si>
  <si>
    <t>měď</t>
  </si>
  <si>
    <t>ocel stavební</t>
  </si>
  <si>
    <t>ocel legovaná, slitinová</t>
  </si>
  <si>
    <t>C. Horniny</t>
  </si>
  <si>
    <t>vápenec měkký</t>
  </si>
  <si>
    <t>vápenec tvrdý, travertýn, opuka</t>
  </si>
  <si>
    <t>žula, diorit, granodiorit, svor, pískovec, křemenec, břidlice jílovitá</t>
  </si>
  <si>
    <t>mramor, syenit, dolomit</t>
  </si>
  <si>
    <t>D. Zeminy</t>
  </si>
  <si>
    <t>kamenivo</t>
  </si>
  <si>
    <t>hrubé přírodní - štěrk</t>
  </si>
  <si>
    <t>drobné ulehlé - písek</t>
  </si>
  <si>
    <t>drobné kypré - písek</t>
  </si>
  <si>
    <t>soudržné zeminy pevné (hlinité písky až písčité hlíny)</t>
  </si>
  <si>
    <t>soudržné zeminy pevné (hlíny, jíly)</t>
  </si>
  <si>
    <t>zeminy s vysokou organickou příměsí (rašelina)</t>
  </si>
  <si>
    <t>E. Cihly, kusová staviva</t>
  </si>
  <si>
    <t>cihly plné pálené</t>
  </si>
  <si>
    <t>děrované</t>
  </si>
  <si>
    <t>CD_INA, IVA, IZA, příčkovky dutinové</t>
  </si>
  <si>
    <t>vápenopískové plné</t>
  </si>
  <si>
    <t>tvárnice</t>
  </si>
  <si>
    <t>pórobetonové</t>
  </si>
  <si>
    <t>křemelinové</t>
  </si>
  <si>
    <t>struskobetonové, škvárobetonové</t>
  </si>
  <si>
    <t>skleněné</t>
  </si>
  <si>
    <t>stropní desky HURDIS</t>
  </si>
  <si>
    <t>stropní tvarovky MIAKO, SIMPLEX, ARMO</t>
  </si>
  <si>
    <t>dlaždice a obkládačky</t>
  </si>
  <si>
    <t>keramické</t>
  </si>
  <si>
    <t>cihelné - půdovky, stájovky</t>
  </si>
  <si>
    <t>kameninové, teracové, betonové</t>
  </si>
  <si>
    <t>F. Sypká staviva</t>
  </si>
  <si>
    <t>cement</t>
  </si>
  <si>
    <t>čerstvě nasypaný</t>
  </si>
  <si>
    <t>v pytlích</t>
  </si>
  <si>
    <t>vápno hašené v pytlích</t>
  </si>
  <si>
    <t>vápenná kaše</t>
  </si>
  <si>
    <t>suché maltovinové směsi v pytlích</t>
  </si>
  <si>
    <t>agloporit</t>
  </si>
  <si>
    <t>cihelná drť</t>
  </si>
  <si>
    <t>expandit</t>
  </si>
  <si>
    <t>keramzit</t>
  </si>
  <si>
    <t>experlit</t>
  </si>
  <si>
    <t>struska, škvára</t>
  </si>
  <si>
    <t>H. Malty, omítky</t>
  </si>
  <si>
    <t>cementové</t>
  </si>
  <si>
    <t>vápenocementové</t>
  </si>
  <si>
    <t>vápenné, vápenosádrové, hliněné</t>
  </si>
  <si>
    <t>I. Beton</t>
  </si>
  <si>
    <t>prostý cementový, nevibrovaný</t>
  </si>
  <si>
    <t>keramzitbeton</t>
  </si>
  <si>
    <t>perlitbeton</t>
  </si>
  <si>
    <t>pěnobeton</t>
  </si>
  <si>
    <t>pórobeton</t>
  </si>
  <si>
    <t>škvárobeton</t>
  </si>
  <si>
    <t>železobeton</t>
  </si>
  <si>
    <t>J. Zdivo</t>
  </si>
  <si>
    <t>z cihel plných</t>
  </si>
  <si>
    <t>na MV</t>
  </si>
  <si>
    <t>G. Zásypové materiály</t>
  </si>
  <si>
    <t>na MC, MVC</t>
  </si>
  <si>
    <t>vápenopískových</t>
  </si>
  <si>
    <t xml:space="preserve">z cihel </t>
  </si>
  <si>
    <t>děrovaných CD-TÝN, CD-INA, IVA, IZA</t>
  </si>
  <si>
    <t>kamenné</t>
  </si>
  <si>
    <t>kvádrové z hutného kamene</t>
  </si>
  <si>
    <t>kvádrové z pórovitého kamene</t>
  </si>
  <si>
    <t>lomové řádkové nebo kyklopské</t>
  </si>
  <si>
    <t>lomové z pórovitého kamene</t>
  </si>
  <si>
    <t>K. Izolační materiály a výrobky</t>
  </si>
  <si>
    <t>čedičová vata, rohože ze skleněné vlny nebo rouna</t>
  </si>
  <si>
    <t>rohože z čedičové vaty nebo minerální plsti</t>
  </si>
  <si>
    <t>pěnový polystyrén</t>
  </si>
  <si>
    <t>suspenzní</t>
  </si>
  <si>
    <t>emulzní</t>
  </si>
  <si>
    <t>polyvinylchlorid (PVC)</t>
  </si>
  <si>
    <t>pěnový</t>
  </si>
  <si>
    <t>neměkčený (novodur)</t>
  </si>
  <si>
    <t>měkčený (novoplast)</t>
  </si>
  <si>
    <t>fólie z PVC</t>
  </si>
  <si>
    <t>molitan</t>
  </si>
  <si>
    <t>desky z</t>
  </si>
  <si>
    <t>asfaltového papíru</t>
  </si>
  <si>
    <t>kordu</t>
  </si>
  <si>
    <t>korku, lisované</t>
  </si>
  <si>
    <t>křemeliny</t>
  </si>
  <si>
    <t>minerálních vláken</t>
  </si>
  <si>
    <t>sádry (hutné)</t>
  </si>
  <si>
    <t>sádry pórovité</t>
  </si>
  <si>
    <t>fólie</t>
  </si>
  <si>
    <t>asfaltohliníkové (Foalbit S)</t>
  </si>
  <si>
    <t>lepenka</t>
  </si>
  <si>
    <t>dehtovaná, impregnovaná D 500/H</t>
  </si>
  <si>
    <t>asfaltovaná, strojní hadrová 500/H</t>
  </si>
  <si>
    <t>s krycí vrstvou a vložkou z lepenky - typ R</t>
  </si>
  <si>
    <t>s krycí vrstvou a vložkou z lepenky - typ S</t>
  </si>
  <si>
    <t>nátěr asfaltový tl. 1,5 - 2,5 mm</t>
  </si>
  <si>
    <t>L. Podlahoviny</t>
  </si>
  <si>
    <t>koberec</t>
  </si>
  <si>
    <t>PVC (linoleum) s lepidlem</t>
  </si>
  <si>
    <t>podlahová stěrka</t>
  </si>
  <si>
    <t>M. Dlažby, mazaniny, vozovky</t>
  </si>
  <si>
    <t>asfalt litý, živice</t>
  </si>
  <si>
    <t>dlažba</t>
  </si>
  <si>
    <t>kamenná</t>
  </si>
  <si>
    <t>teracová</t>
  </si>
  <si>
    <t>mazanina</t>
  </si>
  <si>
    <t>cementová</t>
  </si>
  <si>
    <t>plastbetonová</t>
  </si>
  <si>
    <t>vozovka štěrková i živičná</t>
  </si>
  <si>
    <t>N. Střešní krytiny</t>
  </si>
  <si>
    <t>azbestocementové šablony</t>
  </si>
  <si>
    <t>s bedněním 25 mm a lepenkou</t>
  </si>
  <si>
    <t>s laťováním</t>
  </si>
  <si>
    <t>z vlnovek na dřevěných vazničkách po 3 m</t>
  </si>
  <si>
    <t>břidlicová s bedněním 25 mm a lepenkou</t>
  </si>
  <si>
    <t>lepenková</t>
  </si>
  <si>
    <t>jednoduchá dehtovaná nebo asfaltovaná s bedněním 25 mm</t>
  </si>
  <si>
    <t>dvojitá dehtovaná nebo asfaltovaná s bedněním 25 mm</t>
  </si>
  <si>
    <t>bez bednění</t>
  </si>
  <si>
    <t>betonová</t>
  </si>
  <si>
    <t>z drážkových tašek ražených nebo tažených s laťováním a podmazáním</t>
  </si>
  <si>
    <t>s laťováním, kladená zplna do malty</t>
  </si>
  <si>
    <t>prejzová, kladená zplna do malty, s laťováním</t>
  </si>
  <si>
    <t>z pozinkovaného plechu 0,6 mm</t>
  </si>
  <si>
    <t>s bedněním a lepenkou</t>
  </si>
  <si>
    <t>z měděného plechu 0,6 mm na dvojitou drážku</t>
  </si>
  <si>
    <t>s bedněním 25 mm</t>
  </si>
  <si>
    <t>dvojitá z obyčejných tašek</t>
  </si>
  <si>
    <t>Lze zjistit výsledek po 2.?</t>
  </si>
  <si>
    <t>Po 3.?</t>
  </si>
  <si>
    <t>dvojitá dehtovaná nebo asfaltovaná bez bednění</t>
  </si>
  <si>
    <t>jednoduchá dehtovaná nebo asfaltovaná bez bednění</t>
  </si>
  <si>
    <t>bez žádného bednění</t>
  </si>
  <si>
    <t>vybraný 3.?</t>
  </si>
  <si>
    <t>kg/m2</t>
  </si>
  <si>
    <t>hustota</t>
  </si>
  <si>
    <t>mm</t>
  </si>
  <si>
    <t>d</t>
  </si>
  <si>
    <t>m</t>
  </si>
  <si>
    <t>∑</t>
  </si>
  <si>
    <t>XC0</t>
  </si>
  <si>
    <t>XC1</t>
  </si>
  <si>
    <t>XC2</t>
  </si>
  <si>
    <t>XC3</t>
  </si>
  <si>
    <t>XC4</t>
  </si>
  <si>
    <t>XD1/XS1</t>
  </si>
  <si>
    <t>XD2/XS2</t>
  </si>
  <si>
    <t>XD3/XS3</t>
  </si>
  <si>
    <t>S1</t>
  </si>
  <si>
    <t>S2</t>
  </si>
  <si>
    <t>S3</t>
  </si>
  <si>
    <t>S4</t>
  </si>
  <si>
    <t>S5</t>
  </si>
  <si>
    <t>S6</t>
  </si>
  <si>
    <t>let</t>
  </si>
  <si>
    <t>kNm</t>
  </si>
  <si>
    <t>z</t>
  </si>
  <si>
    <t>mm2</t>
  </si>
  <si>
    <t>Hlavní ohybová výztuž desky</t>
  </si>
  <si>
    <t>as, reg</t>
  </si>
  <si>
    <t>as, prov</t>
  </si>
  <si>
    <t>řádek</t>
  </si>
  <si>
    <t>profil</t>
  </si>
  <si>
    <t>s prov</t>
  </si>
  <si>
    <t>Asmin</t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</si>
  <si>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2"/>
      </rPr>
      <t xml:space="preserve">  </t>
    </r>
  </si>
  <si>
    <r>
      <t>f</t>
    </r>
    <r>
      <rPr>
        <vertAlign val="subscript"/>
        <sz val="10"/>
        <rFont val="Arial"/>
        <family val="2"/>
      </rPr>
      <t>ck,cube</t>
    </r>
    <r>
      <rPr>
        <sz val="10"/>
        <rFont val="Arial"/>
        <family val="2"/>
      </rPr>
      <t xml:space="preserve">  </t>
    </r>
  </si>
  <si>
    <t xml:space="preserve">fcm  </t>
  </si>
  <si>
    <t xml:space="preserve">fctm </t>
  </si>
  <si>
    <t>fctk; 0,05</t>
  </si>
  <si>
    <t>fctk; 0,95</t>
  </si>
  <si>
    <t>Ecm</t>
  </si>
  <si>
    <r>
      <t>ε</t>
    </r>
    <r>
      <rPr>
        <b/>
        <vertAlign val="subscript"/>
        <sz val="12"/>
        <rFont val="Calibri"/>
        <family val="2"/>
      </rPr>
      <t>cu3</t>
    </r>
  </si>
  <si>
    <t>Mpa</t>
  </si>
  <si>
    <t>%</t>
  </si>
  <si>
    <t>C 12/15</t>
  </si>
  <si>
    <t>C 16/20</t>
  </si>
  <si>
    <t>C 20/25</t>
  </si>
  <si>
    <t>C 25/30</t>
  </si>
  <si>
    <t>C 30/37</t>
  </si>
  <si>
    <t>C 35/45</t>
  </si>
  <si>
    <t>C 40/50</t>
  </si>
  <si>
    <t>C 45/55</t>
  </si>
  <si>
    <t>C 50/60</t>
  </si>
  <si>
    <t>C 55/67</t>
  </si>
  <si>
    <t>C 60/75</t>
  </si>
  <si>
    <t>C 70/85</t>
  </si>
  <si>
    <t>C 80/95</t>
  </si>
  <si>
    <t>C 90/105</t>
  </si>
  <si>
    <r>
      <t>f</t>
    </r>
    <r>
      <rPr>
        <vertAlign val="subscript"/>
        <sz val="10"/>
        <rFont val="Arial"/>
        <family val="2"/>
      </rPr>
      <t>yk</t>
    </r>
  </si>
  <si>
    <r>
      <t>f</t>
    </r>
    <r>
      <rPr>
        <vertAlign val="subscript"/>
        <sz val="10"/>
        <rFont val="Arial"/>
        <family val="2"/>
      </rPr>
      <t>tk</t>
    </r>
  </si>
  <si>
    <t>10425 (V)</t>
  </si>
  <si>
    <t>10505.0 (R)</t>
  </si>
  <si>
    <t>10505.9 R)</t>
  </si>
  <si>
    <r>
      <t>f</t>
    </r>
    <r>
      <rPr>
        <b/>
        <vertAlign val="subscript"/>
        <sz val="12"/>
        <rFont val="Arial"/>
        <family val="2"/>
      </rPr>
      <t>ck</t>
    </r>
  </si>
  <si>
    <t>MPa</t>
  </si>
  <si>
    <r>
      <t>f</t>
    </r>
    <r>
      <rPr>
        <b/>
        <vertAlign val="subscript"/>
        <sz val="12"/>
        <rFont val="Arial"/>
        <family val="2"/>
      </rPr>
      <t>ck,cube</t>
    </r>
  </si>
  <si>
    <r>
      <t>f</t>
    </r>
    <r>
      <rPr>
        <b/>
        <vertAlign val="subscript"/>
        <sz val="12"/>
        <rFont val="Arial"/>
        <family val="2"/>
      </rPr>
      <t>cm</t>
    </r>
  </si>
  <si>
    <r>
      <t>f</t>
    </r>
    <r>
      <rPr>
        <b/>
        <vertAlign val="subscript"/>
        <sz val="12"/>
        <rFont val="Arial"/>
        <family val="2"/>
      </rPr>
      <t>ctm</t>
    </r>
  </si>
  <si>
    <r>
      <t>f</t>
    </r>
    <r>
      <rPr>
        <b/>
        <vertAlign val="subscript"/>
        <sz val="12"/>
        <rFont val="Arial"/>
        <family val="2"/>
      </rPr>
      <t>ctk,0,05</t>
    </r>
  </si>
  <si>
    <r>
      <t>f</t>
    </r>
    <r>
      <rPr>
        <b/>
        <vertAlign val="subscript"/>
        <sz val="12"/>
        <rFont val="Arial"/>
        <family val="2"/>
      </rPr>
      <t>ctk,0,95</t>
    </r>
  </si>
  <si>
    <r>
      <t>E</t>
    </r>
    <r>
      <rPr>
        <b/>
        <vertAlign val="subscript"/>
        <sz val="12"/>
        <rFont val="Arial"/>
        <family val="2"/>
      </rPr>
      <t>cm</t>
    </r>
  </si>
  <si>
    <r>
      <t xml:space="preserve">γ </t>
    </r>
    <r>
      <rPr>
        <b/>
        <vertAlign val="subscript"/>
        <sz val="12"/>
        <rFont val="Arial"/>
        <family val="2"/>
      </rPr>
      <t>M</t>
    </r>
  </si>
  <si>
    <t>-</t>
  </si>
  <si>
    <r>
      <t>f</t>
    </r>
    <r>
      <rPr>
        <b/>
        <vertAlign val="subscript"/>
        <sz val="12"/>
        <rFont val="Arial"/>
        <family val="2"/>
      </rPr>
      <t>yk</t>
    </r>
  </si>
  <si>
    <r>
      <t>f</t>
    </r>
    <r>
      <rPr>
        <b/>
        <vertAlign val="subscript"/>
        <sz val="12"/>
        <rFont val="Arial"/>
        <family val="2"/>
      </rPr>
      <t>tk</t>
    </r>
  </si>
  <si>
    <r>
      <rPr>
        <b/>
        <sz val="12"/>
        <rFont val="Calibri"/>
        <family val="2"/>
      </rPr>
      <t>ε</t>
    </r>
    <r>
      <rPr>
        <b/>
        <vertAlign val="subscript"/>
        <sz val="12"/>
        <rFont val="Arial"/>
        <family val="2"/>
      </rPr>
      <t>yd</t>
    </r>
  </si>
  <si>
    <r>
      <t>f</t>
    </r>
    <r>
      <rPr>
        <b/>
        <vertAlign val="subscript"/>
        <sz val="12"/>
        <rFont val="Arial"/>
        <family val="2"/>
      </rPr>
      <t>yd</t>
    </r>
  </si>
  <si>
    <r>
      <t>f</t>
    </r>
    <r>
      <rPr>
        <b/>
        <vertAlign val="subscript"/>
        <sz val="12"/>
        <rFont val="Arial"/>
        <family val="2"/>
      </rPr>
      <t>cd</t>
    </r>
  </si>
  <si>
    <r>
      <rPr>
        <b/>
        <sz val="12"/>
        <rFont val="Calibri"/>
        <family val="2"/>
      </rPr>
      <t>ξ</t>
    </r>
    <r>
      <rPr>
        <b/>
        <sz val="12"/>
        <rFont val="Arial"/>
        <family val="2"/>
      </rPr>
      <t xml:space="preserve"> </t>
    </r>
    <r>
      <rPr>
        <b/>
        <vertAlign val="subscript"/>
        <sz val="12"/>
        <rFont val="Arial"/>
        <family val="2"/>
      </rPr>
      <t>bal1</t>
    </r>
  </si>
  <si>
    <t>smax</t>
  </si>
  <si>
    <t>Ø</t>
  </si>
  <si>
    <t>vzdálenost</t>
  </si>
  <si>
    <t>As, prov</t>
  </si>
  <si>
    <t>deska1</t>
  </si>
  <si>
    <t>deska2</t>
  </si>
  <si>
    <t>x</t>
  </si>
  <si>
    <t>ksí</t>
  </si>
  <si>
    <t>MRd</t>
  </si>
  <si>
    <t>as, req</t>
  </si>
  <si>
    <r>
      <t>κ</t>
    </r>
    <r>
      <rPr>
        <i/>
        <vertAlign val="subscript"/>
        <sz val="10"/>
        <rFont val="Calibri"/>
        <family val="2"/>
      </rPr>
      <t>c1</t>
    </r>
    <r>
      <rPr>
        <i/>
        <sz val="10"/>
        <rFont val="Calibri"/>
        <family val="2"/>
      </rPr>
      <t xml:space="preserve"> = </t>
    </r>
  </si>
  <si>
    <r>
      <t>κ</t>
    </r>
    <r>
      <rPr>
        <i/>
        <vertAlign val="subscript"/>
        <sz val="10"/>
        <rFont val="Calibri"/>
        <family val="2"/>
      </rPr>
      <t>c2</t>
    </r>
    <r>
      <rPr>
        <i/>
        <sz val="10"/>
        <rFont val="Calibri"/>
        <family val="2"/>
      </rPr>
      <t xml:space="preserve"> = </t>
    </r>
  </si>
  <si>
    <r>
      <t>λ</t>
    </r>
    <r>
      <rPr>
        <b/>
        <vertAlign val="subscript"/>
        <sz val="18"/>
        <color indexed="8"/>
        <rFont val="Verdana"/>
        <family val="2"/>
      </rPr>
      <t>d,tab</t>
    </r>
  </si>
  <si>
    <t>0,5%</t>
  </si>
  <si>
    <t>1,5%</t>
  </si>
  <si>
    <t>λd,tab =</t>
  </si>
  <si>
    <r>
      <rPr>
        <i/>
        <sz val="10"/>
        <rFont val="Arial"/>
        <family val="2"/>
      </rPr>
      <t xml:space="preserve">gd + gd </t>
    </r>
    <r>
      <rPr>
        <sz val="10"/>
        <rFont val="Arial"/>
        <family val="2"/>
      </rPr>
      <t>=</t>
    </r>
  </si>
  <si>
    <t>kN/m</t>
  </si>
  <si>
    <t>kN</t>
  </si>
  <si>
    <t>deska</t>
  </si>
  <si>
    <t>trám ohybovka</t>
  </si>
  <si>
    <t>Trám třmnek</t>
  </si>
  <si>
    <r>
      <t>M</t>
    </r>
    <r>
      <rPr>
        <vertAlign val="subscript"/>
        <sz val="10"/>
        <rFont val="Arial"/>
        <family val="2"/>
      </rPr>
      <t>Rd</t>
    </r>
  </si>
  <si>
    <t>Automatické vyhledávání</t>
  </si>
  <si>
    <t>Ruční vyhlůedávání</t>
  </si>
  <si>
    <r>
      <t>A</t>
    </r>
    <r>
      <rPr>
        <b/>
        <vertAlign val="subscript"/>
        <sz val="14"/>
        <rFont val="Verdana"/>
        <family val="2"/>
      </rPr>
      <t>s</t>
    </r>
  </si>
  <si>
    <t>n</t>
  </si>
  <si>
    <t>kg/m</t>
  </si>
  <si>
    <t>počet profilů</t>
  </si>
  <si>
    <t>n max=</t>
  </si>
  <si>
    <t>n=</t>
  </si>
  <si>
    <t>smin</t>
  </si>
  <si>
    <t>ný</t>
  </si>
  <si>
    <t>u =</t>
  </si>
  <si>
    <t>s max</t>
  </si>
  <si>
    <t>ró</t>
  </si>
  <si>
    <t>Asw</t>
  </si>
  <si>
    <t>třmínky</t>
  </si>
  <si>
    <t>rómin</t>
  </si>
  <si>
    <t xml:space="preserve">c =  </t>
  </si>
  <si>
    <t xml:space="preserve">μ =  </t>
  </si>
  <si>
    <t xml:space="preserve">α = </t>
  </si>
  <si>
    <t>o</t>
  </si>
  <si>
    <t>c</t>
  </si>
  <si>
    <t>μ</t>
  </si>
  <si>
    <t>alfa</t>
  </si>
  <si>
    <t>Vrdi</t>
  </si>
  <si>
    <t>Vrd max</t>
  </si>
  <si>
    <t>°</t>
  </si>
  <si>
    <t>β</t>
  </si>
  <si>
    <t>Nd</t>
  </si>
  <si>
    <t>as</t>
  </si>
  <si>
    <t>mrd</t>
  </si>
  <si>
    <t>b</t>
  </si>
  <si>
    <t>a =</t>
  </si>
  <si>
    <t>l =</t>
  </si>
  <si>
    <r>
      <t>h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=</t>
    </r>
  </si>
  <si>
    <r>
      <t>b</t>
    </r>
    <r>
      <rPr>
        <i/>
        <vertAlign val="subscript"/>
        <sz val="10"/>
        <rFont val="Arial"/>
        <family val="2"/>
      </rPr>
      <t>t</t>
    </r>
    <r>
      <rPr>
        <i/>
        <sz val="10"/>
        <rFont val="Arial"/>
        <family val="2"/>
      </rPr>
      <t xml:space="preserve"> =</t>
    </r>
  </si>
  <si>
    <r>
      <t>h</t>
    </r>
    <r>
      <rPr>
        <i/>
        <vertAlign val="subscript"/>
        <sz val="10"/>
        <rFont val="Arial"/>
        <family val="2"/>
      </rPr>
      <t>f</t>
    </r>
    <r>
      <rPr>
        <i/>
        <sz val="10"/>
        <rFont val="Arial"/>
        <family val="2"/>
      </rPr>
      <t xml:space="preserve"> =</t>
    </r>
  </si>
  <si>
    <r>
      <t>h</t>
    </r>
    <r>
      <rPr>
        <i/>
        <vertAlign val="subscript"/>
        <sz val="10"/>
        <rFont val="Arial"/>
        <family val="2"/>
      </rPr>
      <t>d</t>
    </r>
    <r>
      <rPr>
        <i/>
        <sz val="10"/>
        <rFont val="Arial"/>
        <family val="2"/>
      </rPr>
      <t xml:space="preserve"> =</t>
    </r>
  </si>
  <si>
    <r>
      <t>c</t>
    </r>
    <r>
      <rPr>
        <vertAlign val="subscript"/>
        <sz val="10"/>
        <color indexed="8"/>
        <rFont val="Arial"/>
        <family val="2"/>
      </rPr>
      <t xml:space="preserve">min,dur </t>
    </r>
    <r>
      <rPr>
        <sz val="10"/>
        <color indexed="8"/>
        <rFont val="Arial"/>
        <family val="2"/>
      </rPr>
      <t>=</t>
    </r>
  </si>
  <si>
    <r>
      <t>∆c</t>
    </r>
    <r>
      <rPr>
        <vertAlign val="subscript"/>
        <sz val="10"/>
        <color indexed="8"/>
        <rFont val="Arial"/>
        <family val="2"/>
      </rPr>
      <t xml:space="preserve">dur,γ </t>
    </r>
    <r>
      <rPr>
        <sz val="10"/>
        <color indexed="8"/>
        <rFont val="Arial"/>
        <family val="2"/>
      </rPr>
      <t>=</t>
    </r>
  </si>
  <si>
    <r>
      <t>∆c</t>
    </r>
    <r>
      <rPr>
        <vertAlign val="subscript"/>
        <sz val="10"/>
        <color indexed="8"/>
        <rFont val="Arial"/>
        <family val="2"/>
      </rPr>
      <t xml:space="preserve">dur,st </t>
    </r>
    <r>
      <rPr>
        <sz val="10"/>
        <rFont val="Arial"/>
        <family val="2"/>
      </rPr>
      <t>=</t>
    </r>
  </si>
  <si>
    <r>
      <t>∆c</t>
    </r>
    <r>
      <rPr>
        <vertAlign val="subscript"/>
        <sz val="10"/>
        <color indexed="8"/>
        <rFont val="Arial"/>
        <family val="2"/>
      </rPr>
      <t>dur,add</t>
    </r>
    <r>
      <rPr>
        <sz val="10"/>
        <rFont val="Arial"/>
        <family val="2"/>
      </rPr>
      <t xml:space="preserve"> =</t>
    </r>
  </si>
  <si>
    <r>
      <t>c</t>
    </r>
    <r>
      <rPr>
        <vertAlign val="subscript"/>
        <sz val="10"/>
        <color indexed="8"/>
        <rFont val="Arial"/>
        <family val="2"/>
      </rPr>
      <t>min,b</t>
    </r>
    <r>
      <rPr>
        <b/>
        <sz val="10"/>
        <color indexed="8"/>
        <rFont val="Arial"/>
        <family val="2"/>
      </rPr>
      <t xml:space="preserve"> </t>
    </r>
  </si>
  <si>
    <r>
      <t>c</t>
    </r>
    <r>
      <rPr>
        <i/>
        <vertAlign val="subscript"/>
        <sz val="10"/>
        <color indexed="8"/>
        <rFont val="Arial"/>
        <family val="2"/>
      </rPr>
      <t xml:space="preserve">min,dur </t>
    </r>
    <r>
      <rPr>
        <i/>
        <sz val="10"/>
        <color indexed="8"/>
        <rFont val="Arial"/>
        <family val="2"/>
      </rPr>
      <t>=</t>
    </r>
  </si>
  <si>
    <r>
      <t>∆c</t>
    </r>
    <r>
      <rPr>
        <i/>
        <vertAlign val="subscript"/>
        <sz val="10"/>
        <color indexed="8"/>
        <rFont val="Arial"/>
        <family val="2"/>
      </rPr>
      <t xml:space="preserve">dur,γ </t>
    </r>
    <r>
      <rPr>
        <i/>
        <sz val="10"/>
        <color indexed="8"/>
        <rFont val="Arial"/>
        <family val="2"/>
      </rPr>
      <t>=</t>
    </r>
  </si>
  <si>
    <r>
      <t>∆c</t>
    </r>
    <r>
      <rPr>
        <i/>
        <vertAlign val="subscript"/>
        <sz val="10"/>
        <color indexed="8"/>
        <rFont val="Arial"/>
        <family val="2"/>
      </rPr>
      <t xml:space="preserve">dur,st </t>
    </r>
    <r>
      <rPr>
        <i/>
        <sz val="10"/>
        <rFont val="Arial"/>
        <family val="2"/>
      </rPr>
      <t>=</t>
    </r>
  </si>
  <si>
    <r>
      <t>∆c</t>
    </r>
    <r>
      <rPr>
        <i/>
        <vertAlign val="subscript"/>
        <sz val="10"/>
        <color indexed="8"/>
        <rFont val="Arial"/>
        <family val="2"/>
      </rPr>
      <t>dur,add</t>
    </r>
    <r>
      <rPr>
        <i/>
        <sz val="10"/>
        <rFont val="Arial"/>
        <family val="2"/>
      </rPr>
      <t xml:space="preserve"> =</t>
    </r>
  </si>
  <si>
    <r>
      <t>c</t>
    </r>
    <r>
      <rPr>
        <i/>
        <vertAlign val="subscript"/>
        <sz val="10"/>
        <color indexed="8"/>
        <rFont val="Arial"/>
        <family val="2"/>
      </rPr>
      <t>min,b</t>
    </r>
    <r>
      <rPr>
        <b/>
        <i/>
        <sz val="10"/>
        <color indexed="8"/>
        <rFont val="Arial"/>
        <family val="2"/>
      </rPr>
      <t xml:space="preserve"> </t>
    </r>
  </si>
  <si>
    <r>
      <t>D</t>
    </r>
    <r>
      <rPr>
        <i/>
        <sz val="12"/>
        <color indexed="8"/>
        <rFont val="Times New Roman"/>
        <family val="1"/>
      </rPr>
      <t>c</t>
    </r>
    <r>
      <rPr>
        <i/>
        <vertAlign val="subscript"/>
        <sz val="12"/>
        <color indexed="8"/>
        <rFont val="Times New Roman"/>
        <family val="1"/>
      </rPr>
      <t>dev</t>
    </r>
    <r>
      <rPr>
        <i/>
        <sz val="12"/>
        <color indexed="8"/>
        <rFont val="Times New Roman"/>
        <family val="1"/>
      </rPr>
      <t xml:space="preserve"> =</t>
    </r>
  </si>
  <si>
    <r>
      <t>c</t>
    </r>
    <r>
      <rPr>
        <b/>
        <vertAlign val="subscript"/>
        <sz val="10"/>
        <color indexed="8"/>
        <rFont val="Arial"/>
        <family val="2"/>
      </rPr>
      <t>nom,st</t>
    </r>
    <r>
      <rPr>
        <b/>
        <sz val="10"/>
        <color indexed="8"/>
        <rFont val="Arial"/>
        <family val="2"/>
      </rPr>
      <t xml:space="preserve"> =</t>
    </r>
  </si>
  <si>
    <r>
      <t>d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</t>
    </r>
  </si>
  <si>
    <r>
      <t>M</t>
    </r>
    <r>
      <rPr>
        <i/>
        <vertAlign val="subscript"/>
        <sz val="10"/>
        <color indexed="10"/>
        <rFont val="Arial"/>
        <family val="2"/>
      </rPr>
      <t xml:space="preserve">1 </t>
    </r>
    <r>
      <rPr>
        <i/>
        <sz val="10"/>
        <color indexed="10"/>
        <rFont val="Arial"/>
        <family val="2"/>
      </rPr>
      <t>=</t>
    </r>
  </si>
  <si>
    <r>
      <t>M</t>
    </r>
    <r>
      <rPr>
        <i/>
        <vertAlign val="subscript"/>
        <sz val="10"/>
        <color indexed="30"/>
        <rFont val="Arial"/>
        <family val="2"/>
      </rPr>
      <t xml:space="preserve">2 </t>
    </r>
    <r>
      <rPr>
        <i/>
        <sz val="10"/>
        <color indexed="30"/>
        <rFont val="Arial"/>
        <family val="2"/>
      </rPr>
      <t>=</t>
    </r>
  </si>
  <si>
    <r>
      <t>M</t>
    </r>
    <r>
      <rPr>
        <i/>
        <vertAlign val="subscript"/>
        <sz val="10"/>
        <color indexed="30"/>
        <rFont val="Arial"/>
        <family val="2"/>
      </rPr>
      <t xml:space="preserve">3 </t>
    </r>
    <r>
      <rPr>
        <i/>
        <sz val="10"/>
        <color indexed="30"/>
        <rFont val="Arial"/>
        <family val="2"/>
      </rPr>
      <t>=</t>
    </r>
  </si>
  <si>
    <r>
      <t>mm</t>
    </r>
    <r>
      <rPr>
        <vertAlign val="superscript"/>
        <sz val="10"/>
        <rFont val="Arial"/>
        <family val="2"/>
      </rPr>
      <t>2</t>
    </r>
  </si>
  <si>
    <r>
      <t xml:space="preserve">ξ </t>
    </r>
    <r>
      <rPr>
        <vertAlign val="subscript"/>
        <sz val="10"/>
        <rFont val="Calibri"/>
        <family val="2"/>
      </rPr>
      <t>bal</t>
    </r>
  </si>
  <si>
    <r>
      <t xml:space="preserve"> = </t>
    </r>
    <r>
      <rPr>
        <i/>
        <sz val="10"/>
        <rFont val="Calibri"/>
        <family val="2"/>
      </rPr>
      <t>λ</t>
    </r>
    <r>
      <rPr>
        <i/>
        <vertAlign val="subscript"/>
        <sz val="13"/>
        <rFont val="Arial"/>
        <family val="2"/>
      </rPr>
      <t>d</t>
    </r>
  </si>
  <si>
    <r>
      <t>D</t>
    </r>
    <r>
      <rPr>
        <i/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dev</t>
    </r>
    <r>
      <rPr>
        <sz val="10"/>
        <color indexed="8"/>
        <rFont val="Times New Roman"/>
        <family val="1"/>
      </rPr>
      <t xml:space="preserve"> =</t>
    </r>
  </si>
  <si>
    <r>
      <t>M</t>
    </r>
    <r>
      <rPr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=</t>
    </r>
  </si>
  <si>
    <r>
      <t>V</t>
    </r>
    <r>
      <rPr>
        <vertAlign val="subscript"/>
        <sz val="10"/>
        <rFont val="Arial"/>
        <family val="2"/>
      </rPr>
      <t>ed</t>
    </r>
    <r>
      <rPr>
        <sz val="10"/>
        <rFont val="Arial"/>
        <family val="2"/>
      </rPr>
      <t xml:space="preserve"> =</t>
    </r>
  </si>
  <si>
    <r>
      <t>σ</t>
    </r>
    <r>
      <rPr>
        <i/>
        <vertAlign val="subscript"/>
        <sz val="10"/>
        <color indexed="8"/>
        <rFont val="Calibri"/>
        <family val="2"/>
      </rPr>
      <t xml:space="preserve">N </t>
    </r>
    <r>
      <rPr>
        <i/>
        <sz val="10"/>
        <color indexed="8"/>
        <rFont val="Calibri"/>
        <family val="2"/>
      </rPr>
      <t xml:space="preserve">=   </t>
    </r>
    <r>
      <rPr>
        <i/>
        <vertAlign val="subscript"/>
        <sz val="10"/>
        <color indexed="8"/>
        <rFont val="Calibri"/>
        <family val="2"/>
      </rPr>
      <t xml:space="preserve">    </t>
    </r>
  </si>
  <si>
    <r>
      <t>m</t>
    </r>
    <r>
      <rPr>
        <vertAlign val="superscript"/>
        <sz val="10"/>
        <rFont val="Arial"/>
        <family val="2"/>
      </rPr>
      <t>2</t>
    </r>
  </si>
  <si>
    <r>
      <t>V</t>
    </r>
    <r>
      <rPr>
        <i/>
        <vertAlign val="subscript"/>
        <sz val="10"/>
        <rFont val="Arial"/>
        <family val="2"/>
      </rPr>
      <t xml:space="preserve">Rd,max </t>
    </r>
    <r>
      <rPr>
        <i/>
        <sz val="10"/>
        <rFont val="Arial"/>
        <family val="2"/>
      </rPr>
      <t>=</t>
    </r>
  </si>
  <si>
    <t>ξbal</t>
  </si>
  <si>
    <t>vrd</t>
  </si>
  <si>
    <t>1, Data Input</t>
  </si>
  <si>
    <t>1,1 Ceiling Proportions</t>
  </si>
  <si>
    <t>Prefab Beam Proportions</t>
  </si>
  <si>
    <t>Prefab Panel Thickness</t>
  </si>
  <si>
    <t>Slab Thickness (Prefab Panel + Conctere Layer)</t>
  </si>
  <si>
    <t>Thickness [mm]</t>
  </si>
  <si>
    <t>1,2 Floor Load</t>
  </si>
  <si>
    <r>
      <t>Specific Gravity [kg/m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</si>
  <si>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Char.  Load [kN/m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</si>
  <si>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Load
 Index</t>
  </si>
  <si>
    <r>
      <t>Design Load [kN/m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</si>
  <si>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Ceramic Tiles</t>
  </si>
  <si>
    <t>Dead Load</t>
  </si>
  <si>
    <t>Live Load</t>
  </si>
  <si>
    <t>Adhesive</t>
  </si>
  <si>
    <t>Concrete</t>
  </si>
  <si>
    <t>Concrete Layer</t>
  </si>
  <si>
    <t>Prefab Panel</t>
  </si>
  <si>
    <t>Plaster</t>
  </si>
  <si>
    <t>Total Dead Load</t>
  </si>
  <si>
    <t>Total Live Load</t>
  </si>
  <si>
    <t>Total Load</t>
  </si>
  <si>
    <t>2, Floor Slab</t>
  </si>
  <si>
    <t>2,1 Covering Design</t>
  </si>
  <si>
    <t>Durability</t>
  </si>
  <si>
    <t>Effect of Enviroment</t>
  </si>
  <si>
    <t>Steel</t>
  </si>
  <si>
    <t>2,2 Bending Moment on the Slab</t>
  </si>
  <si>
    <t>Internal Forces Arm Estimate</t>
  </si>
  <si>
    <t>2,3 Upper Reinforcement Design</t>
  </si>
  <si>
    <t>Recomended Reinforcement</t>
  </si>
  <si>
    <t>Designed Reinforcement</t>
  </si>
  <si>
    <t>2,4 Lower Reinforcement Design</t>
  </si>
  <si>
    <t>2,5 Flexural Slenderness Control</t>
  </si>
  <si>
    <t>3, Beam Assessment</t>
  </si>
  <si>
    <t>3.1 Covering Design</t>
  </si>
  <si>
    <t>Ø (Main Reinforcement)</t>
  </si>
  <si>
    <t>Ø (Binder Bars)</t>
  </si>
  <si>
    <t>Covering - Main Reinforcement</t>
  </si>
  <si>
    <t>Covering - Binder Bars</t>
  </si>
  <si>
    <t>3.2 Internal Forces</t>
  </si>
  <si>
    <t>Load on the Beam</t>
  </si>
  <si>
    <t>3.3 Main Reinforcement Design</t>
  </si>
  <si>
    <t>number</t>
  </si>
  <si>
    <t>3,4 Shear and Composite Reinforcement Design</t>
  </si>
  <si>
    <t>Panel Bedding</t>
  </si>
  <si>
    <t>Compressive Diagonal Capacity</t>
  </si>
  <si>
    <r>
      <t xml:space="preserve">Binder Bars Distance 
</t>
    </r>
    <r>
      <rPr>
        <i/>
        <sz val="10"/>
        <rFont val="Arial"/>
        <family val="2"/>
      </rPr>
      <t>s =</t>
    </r>
  </si>
  <si>
    <t>Full Composition</t>
  </si>
  <si>
    <t>Shear Capacity</t>
  </si>
  <si>
    <t>Structural Principles</t>
  </si>
  <si>
    <t xml:space="preserve">Binder Bars Distance </t>
  </si>
  <si>
    <t>Reinforcement Level</t>
  </si>
  <si>
    <t>4, Temporary Design Situations</t>
  </si>
  <si>
    <t>4,1 Beam Manipulation Handles</t>
  </si>
  <si>
    <t>Shutter Surface</t>
  </si>
  <si>
    <t>Shutter Type</t>
  </si>
  <si>
    <r>
      <t xml:space="preserve">angle </t>
    </r>
    <r>
      <rPr>
        <sz val="10"/>
        <rFont val="Calibri"/>
        <family val="2"/>
      </rPr>
      <t>β</t>
    </r>
  </si>
  <si>
    <t>Shuttering of the Beam</t>
  </si>
  <si>
    <t>Shuttering Removal Force (1 handle)</t>
  </si>
  <si>
    <t>Axial Dimensions</t>
  </si>
  <si>
    <t>Lifting Mean Type 1</t>
  </si>
  <si>
    <t>Lifting Mean Type 2</t>
  </si>
  <si>
    <t>Lifting Force by Seating (1 handle)</t>
  </si>
  <si>
    <t>Handle Detail</t>
  </si>
  <si>
    <t>Required Reinforcement Area</t>
  </si>
  <si>
    <t>4,2 Assessment of the Lifting Situation</t>
  </si>
  <si>
    <t>Position of Handles</t>
  </si>
  <si>
    <t>Handle</t>
  </si>
  <si>
    <t>Assessment</t>
  </si>
  <si>
    <t>Positive Moment</t>
  </si>
  <si>
    <t>Negative Moment</t>
  </si>
  <si>
    <t>Shuttering of the Panel</t>
  </si>
  <si>
    <t>Panel width</t>
  </si>
  <si>
    <t>Shuttering Area</t>
  </si>
  <si>
    <t>Type of Shuttering</t>
  </si>
  <si>
    <r>
      <t xml:space="preserve">Angle of Lifting </t>
    </r>
    <r>
      <rPr>
        <sz val="10"/>
        <rFont val="Calibri"/>
        <family val="2"/>
      </rPr>
      <t>β</t>
    </r>
  </si>
  <si>
    <t>Cast-in composite reinforcement of the panel is used as a lifting handle.</t>
  </si>
  <si>
    <t>Cast-in composite reinforcement of the beam is used as a lifting handle.</t>
  </si>
  <si>
    <t>4,4 Mounting Support of the Panel</t>
  </si>
  <si>
    <t>Mounting Load</t>
  </si>
  <si>
    <r>
      <t>Char. Load [kN/m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</si>
  <si>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Load Index</t>
  </si>
  <si>
    <t>4,3 Manipulation Handles of the Prefab Panel</t>
  </si>
  <si>
    <t>Live Monuting Load</t>
  </si>
  <si>
    <t>Mounting Support</t>
  </si>
  <si>
    <t>4,5 Mounting Support of the Beam</t>
  </si>
  <si>
    <t>Beam Load</t>
  </si>
  <si>
    <t>Category A: Habitable areas - floor</t>
  </si>
  <si>
    <t>Category B: Office areas</t>
  </si>
  <si>
    <t>Category C1: Areas with desks</t>
  </si>
  <si>
    <t>Category C2: Areas with seats</t>
  </si>
  <si>
    <t>Category C3: Areas for people transfer</t>
  </si>
  <si>
    <t>Category C4: Sport areas</t>
  </si>
  <si>
    <t>Category C5: Meeting areas</t>
  </si>
  <si>
    <t>Category D1: Small shops</t>
  </si>
  <si>
    <t>Category D2: Large shops</t>
  </si>
  <si>
    <t>Category E1: Storage areas</t>
  </si>
  <si>
    <t>Category F: Parking areas</t>
  </si>
  <si>
    <t>Category H: Inaccessible roofs</t>
  </si>
  <si>
    <t>Movable partitions with dead load &lt; 1,0 kN/m</t>
  </si>
  <si>
    <t>Movable partitions with dead load &lt; 2,0 kN/m</t>
  </si>
  <si>
    <t>Movable partitions with dead load &lt; 3,0 kN/m</t>
  </si>
  <si>
    <t>A. Wood and wood products</t>
  </si>
  <si>
    <t>B. Metals</t>
  </si>
  <si>
    <t>C. Rocks</t>
  </si>
  <si>
    <t>D. Soils</t>
  </si>
  <si>
    <t>E. Bricks, piece building materials</t>
  </si>
  <si>
    <t>F. Loose building materials</t>
  </si>
  <si>
    <t>G. Backfill materials</t>
  </si>
  <si>
    <t>H. Mortar, plaster</t>
  </si>
  <si>
    <t>I. Concrete</t>
  </si>
  <si>
    <t>J. Masonry</t>
  </si>
  <si>
    <t>K. Insulation materials and products</t>
  </si>
  <si>
    <t>L. Flooring</t>
  </si>
  <si>
    <t>M. Tiling, monolithic floor finish, roadway</t>
  </si>
  <si>
    <t>Roof covering</t>
  </si>
  <si>
    <t>KARI nets</t>
  </si>
  <si>
    <t>nets</t>
  </si>
  <si>
    <t>manual</t>
  </si>
  <si>
    <t>automatic</t>
  </si>
  <si>
    <t>maximal bars number</t>
  </si>
  <si>
    <t>Very sleek</t>
  </si>
  <si>
    <t>Sleek</t>
  </si>
  <si>
    <t>Rough</t>
  </si>
  <si>
    <t>Sleek oiled shuttering</t>
  </si>
  <si>
    <t>Sleek unioled shutering</t>
  </si>
  <si>
    <t>Rough shutering</t>
  </si>
  <si>
    <t>Lifting and transport on flat terrain</t>
  </si>
  <si>
    <t>Lifting and transport on sloping terrain (construction site)</t>
  </si>
  <si>
    <t>angle</t>
  </si>
  <si>
    <t>Panel dead load</t>
  </si>
  <si>
    <t>Standard lifting</t>
  </si>
  <si>
    <t>Lifting with a lever</t>
  </si>
  <si>
    <t>Moments</t>
  </si>
  <si>
    <t>reaction</t>
  </si>
  <si>
    <t>Reactions</t>
  </si>
  <si>
    <t>Asupper</t>
  </si>
  <si>
    <t>Aslower</t>
  </si>
  <si>
    <t>Stationary or rail crane &lt; 90m/min</t>
  </si>
  <si>
    <t>Stationary or rail crane &gt; 90m/min</t>
  </si>
  <si>
    <r>
      <t>Computer program for design and assessment 
of a composite</t>
    </r>
    <r>
      <rPr>
        <sz val="18"/>
        <color indexed="8"/>
        <rFont val="Calibri"/>
        <family val="2"/>
      </rPr>
      <t xml:space="preserve"> floor</t>
    </r>
  </si>
  <si>
    <t>Computation Legend</t>
  </si>
  <si>
    <r>
      <rPr>
        <b/>
        <sz val="10"/>
        <color indexed="13"/>
        <rFont val="Arial"/>
        <family val="2"/>
      </rPr>
      <t>Yellow</t>
    </r>
    <r>
      <rPr>
        <sz val="10"/>
        <rFont val="Arial"/>
        <family val="2"/>
      </rPr>
      <t xml:space="preserve"> tinged cells are used for a data input or a selection. It is necessary to enter all teh yellow values (they are used for auxilliary computations).</t>
    </r>
  </si>
  <si>
    <r>
      <rPr>
        <b/>
        <sz val="10"/>
        <color indexed="51"/>
        <rFont val="Arial"/>
        <family val="2"/>
      </rPr>
      <t>Orange</t>
    </r>
    <r>
      <rPr>
        <sz val="10"/>
        <rFont val="Arial"/>
        <family val="2"/>
      </rPr>
      <t xml:space="preserve"> tinged cells show important intermediate results.</t>
    </r>
  </si>
  <si>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 xml:space="preserve"> tinged cells indicate a incorrect data values.</t>
    </r>
  </si>
  <si>
    <t>Assessment Overview</t>
  </si>
  <si>
    <t>Floor Slab Assessment</t>
  </si>
  <si>
    <t>Beam Assessment</t>
  </si>
  <si>
    <t>Lower Reinforcement</t>
  </si>
  <si>
    <t>Upper Reinforcement</t>
  </si>
  <si>
    <t>Flexural Slendernes</t>
  </si>
  <si>
    <t>Flexural Capacity</t>
  </si>
  <si>
    <t>Beam and Floor Composition</t>
  </si>
  <si>
    <t>Number of Handles</t>
  </si>
  <si>
    <t>Class</t>
  </si>
  <si>
    <t>Construction</t>
  </si>
  <si>
    <t>Enviroment Level according to Tab. 6.1</t>
  </si>
  <si>
    <t>Reinforcement Areas according to the Bar Distance</t>
  </si>
  <si>
    <t>Bar Diameter [mm]</t>
  </si>
  <si>
    <t>Distance</t>
  </si>
  <si>
    <t>KARI net</t>
  </si>
  <si>
    <t>net</t>
  </si>
  <si>
    <t>Good</t>
  </si>
  <si>
    <t>Conditioned</t>
  </si>
  <si>
    <t>Cantilever</t>
  </si>
  <si>
    <t>Simple Beam</t>
  </si>
  <si>
    <t>Continuous Beam</t>
  </si>
  <si>
    <t>Weldability</t>
  </si>
  <si>
    <t>Reinforcement Areas according to the Bar Number</t>
  </si>
  <si>
    <t>Section Perimeter</t>
  </si>
  <si>
    <t>Weight of  1m Bar</t>
  </si>
  <si>
    <t>Bar Diameter</t>
  </si>
  <si>
    <t>Roughness</t>
  </si>
  <si>
    <t>Indented</t>
  </si>
  <si>
    <t xml:space="preserve">Way of lifting: </t>
  </si>
  <si>
    <t xml:space="preserve">Mounting supports: </t>
  </si>
  <si>
    <t>Concrete diagram</t>
  </si>
  <si>
    <t>Steel diagram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</si>
</sst>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E+00"/>
    <numFmt numFmtId="174" formatCode="0.0000"/>
    <numFmt numFmtId="175" formatCode="0.000000"/>
    <numFmt numFmtId="176" formatCode="0.00000"/>
    <numFmt numFmtId="177" formatCode="0.000"/>
    <numFmt numFmtId="178" formatCode="0.0000000"/>
    <numFmt numFmtId="179" formatCode="0.000000000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\ ##,000_);[Red]\([$€-2]\ #\ ##,000\)"/>
  </numFmts>
  <fonts count="136">
    <font>
      <sz val="10"/>
      <name val="Arial"/>
      <family val="0"/>
    </font>
    <font>
      <sz val="12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1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1"/>
      <name val="Verdana"/>
      <family val="2"/>
    </font>
    <font>
      <sz val="8"/>
      <name val="Verdana"/>
      <family val="2"/>
    </font>
    <font>
      <sz val="10"/>
      <name val="Calibri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color indexed="8"/>
      <name val="Symbol"/>
      <family val="1"/>
    </font>
    <font>
      <b/>
      <i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Verdana"/>
      <family val="2"/>
    </font>
    <font>
      <sz val="12"/>
      <color indexed="8"/>
      <name val="Verdana"/>
      <family val="2"/>
    </font>
    <font>
      <b/>
      <sz val="14"/>
      <color indexed="53"/>
      <name val="Verdana"/>
      <family val="2"/>
    </font>
    <font>
      <b/>
      <sz val="16"/>
      <name val="Verdana"/>
      <family val="2"/>
    </font>
    <font>
      <vertAlign val="subscript"/>
      <sz val="10"/>
      <name val="Arial"/>
      <family val="2"/>
    </font>
    <font>
      <b/>
      <vertAlign val="subscript"/>
      <sz val="12"/>
      <name val="Calibri"/>
      <family val="2"/>
    </font>
    <font>
      <b/>
      <vertAlign val="subscript"/>
      <sz val="12"/>
      <name val="Arial"/>
      <family val="2"/>
    </font>
    <font>
      <b/>
      <sz val="12"/>
      <name val="Calibri"/>
      <family val="2"/>
    </font>
    <font>
      <i/>
      <sz val="10"/>
      <name val="Calibri"/>
      <family val="2"/>
    </font>
    <font>
      <i/>
      <vertAlign val="subscript"/>
      <sz val="10"/>
      <name val="Calibri"/>
      <family val="2"/>
    </font>
    <font>
      <b/>
      <sz val="18"/>
      <color indexed="8"/>
      <name val="Verdana"/>
      <family val="2"/>
    </font>
    <font>
      <b/>
      <vertAlign val="subscript"/>
      <sz val="18"/>
      <color indexed="8"/>
      <name val="Verdana"/>
      <family val="2"/>
    </font>
    <font>
      <b/>
      <sz val="14"/>
      <color indexed="40"/>
      <name val="Verdana"/>
      <family val="2"/>
    </font>
    <font>
      <b/>
      <sz val="14"/>
      <color indexed="17"/>
      <name val="Verdana"/>
      <family val="2"/>
    </font>
    <font>
      <i/>
      <sz val="10"/>
      <name val="Arial"/>
      <family val="2"/>
    </font>
    <font>
      <sz val="14"/>
      <name val="Verdana"/>
      <family val="2"/>
    </font>
    <font>
      <sz val="16"/>
      <name val="Verdana"/>
      <family val="2"/>
    </font>
    <font>
      <b/>
      <vertAlign val="subscript"/>
      <sz val="14"/>
      <name val="Verdana"/>
      <family val="2"/>
    </font>
    <font>
      <sz val="14"/>
      <color indexed="10"/>
      <name val="Calibri"/>
      <family val="2"/>
    </font>
    <font>
      <sz val="11"/>
      <color indexed="23"/>
      <name val="Calibri"/>
      <family val="2"/>
    </font>
    <font>
      <sz val="11"/>
      <name val="Arial"/>
      <family val="2"/>
    </font>
    <font>
      <i/>
      <sz val="12"/>
      <name val="Symbol"/>
      <family val="1"/>
    </font>
    <font>
      <sz val="14"/>
      <name val="Arial"/>
      <family val="2"/>
    </font>
    <font>
      <sz val="16"/>
      <name val="Arial"/>
      <family val="2"/>
    </font>
    <font>
      <i/>
      <vertAlign val="subscript"/>
      <sz val="10"/>
      <name val="Arial"/>
      <family val="2"/>
    </font>
    <font>
      <vertAlign val="superscript"/>
      <sz val="10"/>
      <name val="Arial"/>
      <family val="2"/>
    </font>
    <font>
      <i/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vertAlign val="subscript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vertAlign val="subscript"/>
      <sz val="12"/>
      <color indexed="8"/>
      <name val="Times New Roman"/>
      <family val="1"/>
    </font>
    <font>
      <b/>
      <vertAlign val="subscript"/>
      <sz val="10"/>
      <color indexed="8"/>
      <name val="Arial"/>
      <family val="2"/>
    </font>
    <font>
      <i/>
      <sz val="10"/>
      <color indexed="10"/>
      <name val="Arial"/>
      <family val="2"/>
    </font>
    <font>
      <i/>
      <vertAlign val="subscript"/>
      <sz val="10"/>
      <color indexed="10"/>
      <name val="Arial"/>
      <family val="2"/>
    </font>
    <font>
      <i/>
      <sz val="10"/>
      <color indexed="30"/>
      <name val="Arial"/>
      <family val="2"/>
    </font>
    <font>
      <i/>
      <vertAlign val="subscript"/>
      <sz val="10"/>
      <color indexed="30"/>
      <name val="Arial"/>
      <family val="2"/>
    </font>
    <font>
      <vertAlign val="subscript"/>
      <sz val="10"/>
      <name val="Calibri"/>
      <family val="2"/>
    </font>
    <font>
      <i/>
      <vertAlign val="subscript"/>
      <sz val="13"/>
      <name val="Arial"/>
      <family val="2"/>
    </font>
    <font>
      <i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Symbol"/>
      <family val="1"/>
    </font>
    <font>
      <sz val="10"/>
      <color indexed="13"/>
      <name val="Calibri"/>
      <family val="2"/>
    </font>
    <font>
      <vertAlign val="superscript"/>
      <sz val="10"/>
      <color indexed="8"/>
      <name val="Calibri"/>
      <family val="2"/>
    </font>
    <font>
      <sz val="10"/>
      <color indexed="9"/>
      <name val="Calibri"/>
      <family val="2"/>
    </font>
    <font>
      <i/>
      <vertAlign val="subscript"/>
      <sz val="10"/>
      <color indexed="8"/>
      <name val="Calibri"/>
      <family val="2"/>
    </font>
    <font>
      <b/>
      <i/>
      <sz val="10"/>
      <name val="Arial"/>
      <family val="2"/>
    </font>
    <font>
      <sz val="18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b/>
      <sz val="10"/>
      <color indexed="51"/>
      <name val="Arial"/>
      <family val="2"/>
    </font>
    <font>
      <b/>
      <i/>
      <sz val="12"/>
      <name val="Arial"/>
      <family val="2"/>
    </font>
    <font>
      <b/>
      <sz val="11"/>
      <color indexed="40"/>
      <name val="Verdana"/>
      <family val="2"/>
    </font>
    <font>
      <b/>
      <sz val="10"/>
      <color indexed="17"/>
      <name val="Verdan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b/>
      <sz val="10"/>
      <color indexed="21"/>
      <name val="Arial"/>
      <family val="2"/>
    </font>
    <font>
      <b/>
      <i/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  <font>
      <b/>
      <sz val="10"/>
      <color theme="8" tint="-0.4999699890613556"/>
      <name val="Arial"/>
      <family val="2"/>
    </font>
    <font>
      <b/>
      <i/>
      <sz val="11"/>
      <color rgb="FF00B050"/>
      <name val="Arial"/>
      <family val="2"/>
    </font>
    <font>
      <b/>
      <sz val="8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/>
      <right style="thick">
        <color indexed="10"/>
      </right>
      <top/>
      <bottom style="thick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ck"/>
      <right style="thick"/>
      <top/>
      <bottom style="medium"/>
    </border>
    <border>
      <left/>
      <right style="thick">
        <color indexed="10"/>
      </right>
      <top/>
      <bottom style="medium"/>
    </border>
    <border>
      <left/>
      <right style="thick"/>
      <top/>
      <bottom style="medium"/>
    </border>
    <border>
      <left style="thick"/>
      <right style="thick"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107" fillId="3" borderId="0" applyNumberFormat="0" applyBorder="0" applyAlignment="0" applyProtection="0"/>
    <xf numFmtId="0" fontId="107" fillId="4" borderId="0" applyNumberFormat="0" applyBorder="0" applyAlignment="0" applyProtection="0"/>
    <xf numFmtId="0" fontId="107" fillId="5" borderId="0" applyNumberFormat="0" applyBorder="0" applyAlignment="0" applyProtection="0"/>
    <xf numFmtId="0" fontId="107" fillId="6" borderId="0" applyNumberFormat="0" applyBorder="0" applyAlignment="0" applyProtection="0"/>
    <xf numFmtId="0" fontId="107" fillId="7" borderId="0" applyNumberFormat="0" applyBorder="0" applyAlignment="0" applyProtection="0"/>
    <xf numFmtId="0" fontId="107" fillId="8" borderId="0" applyNumberFormat="0" applyBorder="0" applyAlignment="0" applyProtection="0"/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0" fillId="20" borderId="0" applyNumberFormat="0" applyBorder="0" applyAlignment="0" applyProtection="0"/>
    <xf numFmtId="0" fontId="11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1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8" fillId="24" borderId="0" applyNumberFormat="0" applyBorder="0" applyAlignment="0" applyProtection="0"/>
    <xf numFmtId="0" fontId="119" fillId="0" borderId="0" applyNumberFormat="0" applyFill="0" applyBorder="0" applyAlignment="0" applyProtection="0"/>
    <xf numFmtId="0" fontId="120" fillId="25" borderId="8" applyNumberFormat="0" applyAlignment="0" applyProtection="0"/>
    <xf numFmtId="0" fontId="121" fillId="26" borderId="8" applyNumberFormat="0" applyAlignment="0" applyProtection="0"/>
    <xf numFmtId="0" fontId="122" fillId="26" borderId="9" applyNumberFormat="0" applyAlignment="0" applyProtection="0"/>
    <xf numFmtId="0" fontId="123" fillId="0" borderId="0" applyNumberFormat="0" applyFill="0" applyBorder="0" applyAlignment="0" applyProtection="0"/>
    <xf numFmtId="0" fontId="108" fillId="27" borderId="0" applyNumberFormat="0" applyBorder="0" applyAlignment="0" applyProtection="0"/>
    <xf numFmtId="0" fontId="108" fillId="28" borderId="0" applyNumberFormat="0" applyBorder="0" applyAlignment="0" applyProtection="0"/>
    <xf numFmtId="0" fontId="108" fillId="29" borderId="0" applyNumberFormat="0" applyBorder="0" applyAlignment="0" applyProtection="0"/>
    <xf numFmtId="0" fontId="108" fillId="30" borderId="0" applyNumberFormat="0" applyBorder="0" applyAlignment="0" applyProtection="0"/>
    <xf numFmtId="0" fontId="108" fillId="31" borderId="0" applyNumberFormat="0" applyBorder="0" applyAlignment="0" applyProtection="0"/>
    <xf numFmtId="0" fontId="108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 indent="1"/>
    </xf>
    <xf numFmtId="0" fontId="4" fillId="0" borderId="14" xfId="0" applyFont="1" applyBorder="1" applyAlignment="1">
      <alignment horizontal="right" vertical="center" wrapText="1" indent="1"/>
    </xf>
    <xf numFmtId="0" fontId="4" fillId="0" borderId="13" xfId="0" applyFont="1" applyBorder="1" applyAlignment="1">
      <alignment horizontal="right" vertical="center" wrapText="1" indent="1"/>
    </xf>
    <xf numFmtId="0" fontId="4" fillId="33" borderId="11" xfId="0" applyFont="1" applyFill="1" applyBorder="1" applyAlignment="1">
      <alignment horizontal="right" vertical="center" wrapText="1" indent="1"/>
    </xf>
    <xf numFmtId="0" fontId="4" fillId="33" borderId="14" xfId="0" applyFont="1" applyFill="1" applyBorder="1" applyAlignment="1">
      <alignment horizontal="right" vertical="center" wrapText="1" indent="1"/>
    </xf>
    <xf numFmtId="0" fontId="4" fillId="33" borderId="15" xfId="0" applyFont="1" applyFill="1" applyBorder="1" applyAlignment="1">
      <alignment horizontal="right" vertical="center" wrapText="1" indent="1"/>
    </xf>
    <xf numFmtId="0" fontId="9" fillId="34" borderId="1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2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7" fillId="0" borderId="23" xfId="0" applyFont="1" applyBorder="1" applyAlignment="1">
      <alignment horizontal="center" wrapText="1"/>
    </xf>
    <xf numFmtId="0" fontId="27" fillId="0" borderId="24" xfId="0" applyFont="1" applyBorder="1" applyAlignment="1">
      <alignment horizontal="center" wrapText="1"/>
    </xf>
    <xf numFmtId="0" fontId="27" fillId="0" borderId="17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0" fontId="27" fillId="0" borderId="26" xfId="0" applyFont="1" applyBorder="1" applyAlignment="1">
      <alignment horizontal="center" wrapText="1"/>
    </xf>
    <xf numFmtId="0" fontId="27" fillId="0" borderId="27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7" fillId="0" borderId="19" xfId="0" applyFont="1" applyBorder="1" applyAlignment="1">
      <alignment horizontal="center" wrapText="1"/>
    </xf>
    <xf numFmtId="0" fontId="27" fillId="0" borderId="21" xfId="0" applyFont="1" applyBorder="1" applyAlignment="1">
      <alignment horizontal="center" wrapText="1"/>
    </xf>
    <xf numFmtId="0" fontId="27" fillId="0" borderId="22" xfId="0" applyFont="1" applyBorder="1" applyAlignment="1">
      <alignment horizont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27" fillId="0" borderId="30" xfId="0" applyFont="1" applyBorder="1" applyAlignment="1">
      <alignment horizont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72" fontId="31" fillId="0" borderId="0" xfId="0" applyNumberFormat="1" applyFont="1" applyFill="1" applyBorder="1" applyAlignment="1">
      <alignment horizontal="center" vertical="center"/>
    </xf>
    <xf numFmtId="0" fontId="27" fillId="0" borderId="31" xfId="0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vertic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5" fillId="0" borderId="34" xfId="0" applyFont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right" indent="1"/>
    </xf>
    <xf numFmtId="0" fontId="15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3" fillId="36" borderId="10" xfId="0" applyFont="1" applyFill="1" applyBorder="1" applyAlignment="1">
      <alignment horizontal="right" indent="1"/>
    </xf>
    <xf numFmtId="1" fontId="1" fillId="0" borderId="11" xfId="0" applyNumberFormat="1" applyFont="1" applyBorder="1" applyAlignment="1">
      <alignment/>
    </xf>
    <xf numFmtId="0" fontId="3" fillId="36" borderId="14" xfId="0" applyFont="1" applyFill="1" applyBorder="1" applyAlignment="1">
      <alignment horizontal="right" indent="1"/>
    </xf>
    <xf numFmtId="0" fontId="3" fillId="36" borderId="12" xfId="0" applyFont="1" applyFill="1" applyBorder="1" applyAlignment="1">
      <alignment horizontal="right" indent="1"/>
    </xf>
    <xf numFmtId="1" fontId="1" fillId="0" borderId="13" xfId="0" applyNumberFormat="1" applyFont="1" applyBorder="1" applyAlignment="1">
      <alignment/>
    </xf>
    <xf numFmtId="0" fontId="3" fillId="36" borderId="15" xfId="0" applyFont="1" applyFill="1" applyBorder="1" applyAlignment="1">
      <alignment horizontal="right" indent="1"/>
    </xf>
    <xf numFmtId="0" fontId="39" fillId="0" borderId="0" xfId="0" applyFont="1" applyFill="1" applyAlignment="1">
      <alignment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4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0" fillId="0" borderId="11" xfId="0" applyFont="1" applyFill="1" applyBorder="1" applyAlignment="1">
      <alignment horizontal="center" vertical="center"/>
    </xf>
    <xf numFmtId="172" fontId="41" fillId="0" borderId="11" xfId="0" applyNumberFormat="1" applyFont="1" applyFill="1" applyBorder="1" applyAlignment="1">
      <alignment horizontal="center" vertical="center"/>
    </xf>
    <xf numFmtId="172" fontId="31" fillId="0" borderId="11" xfId="0" applyNumberFormat="1" applyFont="1" applyFill="1" applyBorder="1" applyAlignment="1">
      <alignment horizontal="center" vertical="center"/>
    </xf>
    <xf numFmtId="172" fontId="42" fillId="0" borderId="11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2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27" fillId="0" borderId="45" xfId="0" applyFont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30" xfId="0" applyBorder="1" applyAlignment="1">
      <alignment/>
    </xf>
    <xf numFmtId="0" fontId="4" fillId="0" borderId="0" xfId="0" applyFont="1" applyBorder="1" applyAlignment="1">
      <alignment/>
    </xf>
    <xf numFmtId="1" fontId="0" fillId="35" borderId="0" xfId="0" applyNumberForma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 horizontal="right"/>
    </xf>
    <xf numFmtId="0" fontId="14" fillId="35" borderId="47" xfId="0" applyFont="1" applyFill="1" applyBorder="1" applyAlignment="1">
      <alignment horizontal="center"/>
    </xf>
    <xf numFmtId="0" fontId="14" fillId="35" borderId="48" xfId="0" applyFont="1" applyFill="1" applyBorder="1" applyAlignment="1">
      <alignment horizontal="center"/>
    </xf>
    <xf numFmtId="0" fontId="14" fillId="35" borderId="49" xfId="0" applyFont="1" applyFill="1" applyBorder="1" applyAlignment="1">
      <alignment horizontal="center"/>
    </xf>
    <xf numFmtId="0" fontId="0" fillId="35" borderId="30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6" xfId="0" applyFill="1" applyBorder="1" applyAlignment="1">
      <alignment/>
    </xf>
    <xf numFmtId="1" fontId="0" fillId="35" borderId="30" xfId="0" applyNumberFormat="1" applyFill="1" applyBorder="1" applyAlignment="1">
      <alignment/>
    </xf>
    <xf numFmtId="1" fontId="0" fillId="35" borderId="0" xfId="0" applyNumberFormat="1" applyFill="1" applyBorder="1" applyAlignment="1">
      <alignment/>
    </xf>
    <xf numFmtId="1" fontId="0" fillId="35" borderId="16" xfId="0" applyNumberFormat="1" applyFill="1" applyBorder="1" applyAlignment="1">
      <alignment/>
    </xf>
    <xf numFmtId="1" fontId="0" fillId="35" borderId="31" xfId="0" applyNumberFormat="1" applyFill="1" applyBorder="1" applyAlignment="1">
      <alignment/>
    </xf>
    <xf numFmtId="1" fontId="0" fillId="35" borderId="50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2" fontId="4" fillId="35" borderId="0" xfId="0" applyNumberFormat="1" applyFont="1" applyFill="1" applyAlignment="1">
      <alignment/>
    </xf>
    <xf numFmtId="0" fontId="4" fillId="35" borderId="28" xfId="0" applyFont="1" applyFill="1" applyBorder="1" applyAlignment="1">
      <alignment/>
    </xf>
    <xf numFmtId="0" fontId="4" fillId="35" borderId="51" xfId="0" applyFont="1" applyFill="1" applyBorder="1" applyAlignment="1">
      <alignment/>
    </xf>
    <xf numFmtId="0" fontId="4" fillId="35" borderId="29" xfId="0" applyFont="1" applyFill="1" applyBorder="1" applyAlignment="1">
      <alignment/>
    </xf>
    <xf numFmtId="0" fontId="4" fillId="35" borderId="3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0" fontId="4" fillId="35" borderId="31" xfId="0" applyFont="1" applyFill="1" applyBorder="1" applyAlignment="1">
      <alignment/>
    </xf>
    <xf numFmtId="0" fontId="4" fillId="35" borderId="50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7" borderId="28" xfId="0" applyFont="1" applyFill="1" applyBorder="1" applyAlignment="1">
      <alignment/>
    </xf>
    <xf numFmtId="0" fontId="4" fillId="37" borderId="29" xfId="0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4" fillId="37" borderId="0" xfId="0" applyFont="1" applyFill="1" applyBorder="1" applyAlignment="1">
      <alignment/>
    </xf>
    <xf numFmtId="0" fontId="4" fillId="37" borderId="16" xfId="0" applyFont="1" applyFill="1" applyBorder="1" applyAlignment="1">
      <alignment/>
    </xf>
    <xf numFmtId="0" fontId="4" fillId="37" borderId="31" xfId="0" applyFont="1" applyFill="1" applyBorder="1" applyAlignment="1">
      <alignment/>
    </xf>
    <xf numFmtId="0" fontId="4" fillId="37" borderId="17" xfId="0" applyFont="1" applyFill="1" applyBorder="1" applyAlignment="1">
      <alignment/>
    </xf>
    <xf numFmtId="0" fontId="45" fillId="0" borderId="0" xfId="0" applyFont="1" applyAlignment="1">
      <alignment horizontal="center"/>
    </xf>
    <xf numFmtId="0" fontId="1" fillId="0" borderId="37" xfId="0" applyFont="1" applyBorder="1" applyAlignment="1">
      <alignment horizontal="right" vertical="center" indent="1"/>
    </xf>
    <xf numFmtId="0" fontId="1" fillId="0" borderId="38" xfId="0" applyFont="1" applyBorder="1" applyAlignment="1">
      <alignment horizontal="right" vertical="center" indent="1"/>
    </xf>
    <xf numFmtId="0" fontId="1" fillId="36" borderId="38" xfId="0" applyFont="1" applyFill="1" applyBorder="1" applyAlignment="1">
      <alignment horizontal="right" vertical="center" indent="1"/>
    </xf>
    <xf numFmtId="0" fontId="3" fillId="36" borderId="38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172" fontId="1" fillId="0" borderId="10" xfId="0" applyNumberFormat="1" applyFont="1" applyBorder="1" applyAlignment="1">
      <alignment horizontal="right" vertical="center" indent="1"/>
    </xf>
    <xf numFmtId="177" fontId="1" fillId="0" borderId="11" xfId="0" applyNumberFormat="1" applyFont="1" applyBorder="1" applyAlignment="1">
      <alignment horizontal="right" vertical="center" indent="1"/>
    </xf>
    <xf numFmtId="0" fontId="3" fillId="36" borderId="11" xfId="0" applyFont="1" applyFill="1" applyBorder="1" applyAlignment="1">
      <alignment horizontal="right" vertical="center" indent="1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2" fontId="1" fillId="0" borderId="12" xfId="0" applyNumberFormat="1" applyFont="1" applyBorder="1" applyAlignment="1">
      <alignment horizontal="right" vertical="center" indent="1"/>
    </xf>
    <xf numFmtId="177" fontId="1" fillId="0" borderId="13" xfId="0" applyNumberFormat="1" applyFont="1" applyBorder="1" applyAlignment="1">
      <alignment horizontal="right" vertical="center" indent="1"/>
    </xf>
    <xf numFmtId="0" fontId="3" fillId="36" borderId="13" xfId="0" applyFont="1" applyFill="1" applyBorder="1" applyAlignment="1">
      <alignment horizontal="right" vertical="center" indent="1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172" fontId="0" fillId="0" borderId="51" xfId="0" applyNumberForma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172" fontId="0" fillId="0" borderId="50" xfId="0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28" xfId="0" applyFill="1" applyBorder="1" applyAlignment="1">
      <alignment/>
    </xf>
    <xf numFmtId="3" fontId="0" fillId="0" borderId="51" xfId="0" applyNumberFormat="1" applyFill="1" applyBorder="1" applyAlignment="1">
      <alignment horizontal="center"/>
    </xf>
    <xf numFmtId="0" fontId="0" fillId="0" borderId="3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16" xfId="0" applyFill="1" applyBorder="1" applyAlignment="1">
      <alignment/>
    </xf>
    <xf numFmtId="3" fontId="0" fillId="0" borderId="50" xfId="0" applyNumberForma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14" fillId="0" borderId="0" xfId="0" applyFont="1" applyFill="1" applyBorder="1" applyAlignment="1">
      <alignment horizontal="center"/>
    </xf>
    <xf numFmtId="0" fontId="3" fillId="36" borderId="28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6" borderId="29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right"/>
    </xf>
    <xf numFmtId="1" fontId="0" fillId="35" borderId="28" xfId="0" applyNumberFormat="1" applyFill="1" applyBorder="1" applyAlignment="1">
      <alignment/>
    </xf>
    <xf numFmtId="1" fontId="0" fillId="35" borderId="51" xfId="0" applyNumberFormat="1" applyFill="1" applyBorder="1" applyAlignment="1">
      <alignment/>
    </xf>
    <xf numFmtId="1" fontId="0" fillId="35" borderId="29" xfId="0" applyNumberFormat="1" applyFill="1" applyBorder="1" applyAlignment="1">
      <alignment/>
    </xf>
    <xf numFmtId="0" fontId="0" fillId="0" borderId="51" xfId="0" applyBorder="1" applyAlignment="1">
      <alignment/>
    </xf>
    <xf numFmtId="0" fontId="0" fillId="0" borderId="51" xfId="0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50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0" fillId="0" borderId="28" xfId="0" applyFont="1" applyBorder="1" applyAlignment="1">
      <alignment horizontal="right"/>
    </xf>
    <xf numFmtId="0" fontId="4" fillId="37" borderId="0" xfId="0" applyFont="1" applyFill="1" applyAlignment="1">
      <alignment/>
    </xf>
    <xf numFmtId="172" fontId="0" fillId="38" borderId="0" xfId="0" applyNumberFormat="1" applyFill="1" applyAlignment="1" applyProtection="1">
      <alignment horizontal="center"/>
      <protection hidden="1" locked="0"/>
    </xf>
    <xf numFmtId="0" fontId="0" fillId="38" borderId="11" xfId="0" applyFill="1" applyBorder="1" applyAlignment="1" applyProtection="1">
      <alignment horizontal="center"/>
      <protection hidden="1" locked="0"/>
    </xf>
    <xf numFmtId="0" fontId="0" fillId="38" borderId="11" xfId="0" applyFill="1" applyBorder="1" applyAlignment="1" applyProtection="1">
      <alignment horizontal="center" vertical="center" wrapText="1"/>
      <protection hidden="1" locked="0"/>
    </xf>
    <xf numFmtId="0" fontId="0" fillId="38" borderId="0" xfId="0" applyFont="1" applyFill="1" applyAlignment="1" applyProtection="1">
      <alignment horizontal="center"/>
      <protection hidden="1" locked="0"/>
    </xf>
    <xf numFmtId="0" fontId="0" fillId="38" borderId="0" xfId="0" applyFill="1" applyAlignment="1" applyProtection="1">
      <alignment/>
      <protection hidden="1" locked="0"/>
    </xf>
    <xf numFmtId="0" fontId="0" fillId="39" borderId="0" xfId="0" applyFill="1" applyAlignment="1" applyProtection="1">
      <alignment horizontal="center"/>
      <protection hidden="1" locked="0"/>
    </xf>
    <xf numFmtId="0" fontId="0" fillId="39" borderId="0" xfId="0" applyFill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38" borderId="0" xfId="0" applyFill="1" applyAlignment="1" applyProtection="1">
      <alignment horizontal="center"/>
      <protection hidden="1" locked="0"/>
    </xf>
    <xf numFmtId="0" fontId="73" fillId="38" borderId="0" xfId="0" applyFont="1" applyFill="1" applyAlignment="1" applyProtection="1">
      <alignment horizontal="center"/>
      <protection hidden="1" locked="0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0" xfId="0" applyFont="1" applyBorder="1" applyAlignment="1">
      <alignment/>
    </xf>
    <xf numFmtId="0" fontId="73" fillId="38" borderId="0" xfId="0" applyFont="1" applyFill="1" applyAlignment="1" applyProtection="1">
      <alignment horizontal="center"/>
      <protection hidden="1" locked="0"/>
    </xf>
    <xf numFmtId="0" fontId="0" fillId="38" borderId="0" xfId="0" applyFill="1" applyAlignment="1" applyProtection="1">
      <alignment horizontal="center"/>
      <protection hidden="1" locked="0"/>
    </xf>
    <xf numFmtId="0" fontId="0" fillId="38" borderId="52" xfId="0" applyFill="1" applyBorder="1" applyAlignment="1" applyProtection="1">
      <alignment horizontal="left" vertical="center"/>
      <protection hidden="1" locked="0"/>
    </xf>
    <xf numFmtId="0" fontId="0" fillId="38" borderId="53" xfId="0" applyFill="1" applyBorder="1" applyAlignment="1" applyProtection="1">
      <alignment horizontal="left" vertical="center"/>
      <protection hidden="1" locked="0"/>
    </xf>
    <xf numFmtId="0" fontId="0" fillId="38" borderId="54" xfId="0" applyFill="1" applyBorder="1" applyAlignment="1" applyProtection="1">
      <alignment horizontal="left" vertical="center"/>
      <protection hidden="1" locked="0"/>
    </xf>
    <xf numFmtId="0" fontId="0" fillId="38" borderId="52" xfId="0" applyFont="1" applyFill="1" applyBorder="1" applyAlignment="1" applyProtection="1">
      <alignment horizontal="left"/>
      <protection hidden="1" locked="0"/>
    </xf>
    <xf numFmtId="0" fontId="0" fillId="38" borderId="53" xfId="0" applyFont="1" applyFill="1" applyBorder="1" applyAlignment="1" applyProtection="1">
      <alignment horizontal="left"/>
      <protection hidden="1" locked="0"/>
    </xf>
    <xf numFmtId="0" fontId="0" fillId="38" borderId="54" xfId="0" applyFont="1" applyFill="1" applyBorder="1" applyAlignment="1" applyProtection="1">
      <alignment horizontal="left"/>
      <protection hidden="1" locked="0"/>
    </xf>
    <xf numFmtId="0" fontId="3" fillId="40" borderId="35" xfId="0" applyFont="1" applyFill="1" applyBorder="1" applyAlignment="1">
      <alignment horizontal="center" vertical="center" wrapText="1"/>
    </xf>
    <xf numFmtId="0" fontId="3" fillId="40" borderId="36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32" fillId="33" borderId="28" xfId="0" applyFont="1" applyFill="1" applyBorder="1" applyAlignment="1">
      <alignment horizontal="center" vertical="center"/>
    </xf>
    <xf numFmtId="0" fontId="32" fillId="33" borderId="51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40" borderId="32" xfId="0" applyFont="1" applyFill="1" applyBorder="1" applyAlignment="1">
      <alignment horizontal="center" vertical="center" wrapText="1"/>
    </xf>
    <xf numFmtId="0" fontId="2" fillId="40" borderId="34" xfId="0" applyFont="1" applyFill="1" applyBorder="1" applyAlignment="1">
      <alignment horizontal="center" vertical="center" wrapText="1"/>
    </xf>
    <xf numFmtId="0" fontId="2" fillId="40" borderId="55" xfId="0" applyFont="1" applyFill="1" applyBorder="1" applyAlignment="1">
      <alignment horizontal="center" vertical="center" wrapText="1"/>
    </xf>
    <xf numFmtId="0" fontId="2" fillId="40" borderId="35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/>
    </xf>
    <xf numFmtId="0" fontId="3" fillId="40" borderId="55" xfId="0" applyFont="1" applyFill="1" applyBorder="1" applyAlignment="1">
      <alignment horizontal="center" vertical="center" wrapText="1"/>
    </xf>
    <xf numFmtId="0" fontId="3" fillId="40" borderId="33" xfId="0" applyFont="1" applyFill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top" wrapText="1"/>
    </xf>
    <xf numFmtId="0" fontId="26" fillId="0" borderId="57" xfId="0" applyFont="1" applyBorder="1" applyAlignment="1">
      <alignment horizontal="center" vertical="top" wrapText="1"/>
    </xf>
    <xf numFmtId="0" fontId="26" fillId="0" borderId="58" xfId="0" applyFont="1" applyBorder="1" applyAlignment="1">
      <alignment horizontal="center" vertical="top" wrapText="1"/>
    </xf>
    <xf numFmtId="0" fontId="32" fillId="33" borderId="30" xfId="0" applyFont="1" applyFill="1" applyBorder="1" applyAlignment="1">
      <alignment horizontal="center"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85" fillId="0" borderId="59" xfId="0" applyFont="1" applyFill="1" applyBorder="1" applyAlignment="1">
      <alignment horizontal="center" wrapText="1"/>
    </xf>
    <xf numFmtId="0" fontId="31" fillId="0" borderId="0" xfId="0" applyFont="1" applyFill="1" applyAlignment="1">
      <alignment horizontal="center"/>
    </xf>
    <xf numFmtId="0" fontId="86" fillId="0" borderId="59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/>
    </xf>
    <xf numFmtId="0" fontId="124" fillId="0" borderId="0" xfId="0" applyFont="1" applyAlignment="1" applyProtection="1">
      <alignment horizontal="center" vertical="center" wrapText="1"/>
      <protection hidden="1"/>
    </xf>
    <xf numFmtId="0" fontId="125" fillId="41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41" borderId="0" xfId="0" applyFont="1" applyFill="1" applyAlignment="1" applyProtection="1">
      <alignment horizontal="left" vertical="center" wrapText="1"/>
      <protection hidden="1"/>
    </xf>
    <xf numFmtId="0" fontId="125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52" fillId="0" borderId="0" xfId="0" applyFont="1" applyAlignment="1" applyProtection="1">
      <alignment/>
      <protection hidden="1"/>
    </xf>
    <xf numFmtId="0" fontId="0" fillId="41" borderId="0" xfId="0" applyFont="1" applyFill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5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52" fillId="42" borderId="28" xfId="0" applyFont="1" applyFill="1" applyBorder="1" applyAlignment="1" applyProtection="1">
      <alignment horizontal="center"/>
      <protection hidden="1"/>
    </xf>
    <xf numFmtId="0" fontId="52" fillId="42" borderId="51" xfId="0" applyFont="1" applyFill="1" applyBorder="1" applyAlignment="1" applyProtection="1">
      <alignment horizontal="center"/>
      <protection hidden="1"/>
    </xf>
    <xf numFmtId="0" fontId="52" fillId="42" borderId="29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 horizontal="right"/>
      <protection hidden="1"/>
    </xf>
    <xf numFmtId="0" fontId="126" fillId="0" borderId="0" xfId="0" applyFont="1" applyAlignment="1" applyProtection="1">
      <alignment/>
      <protection hidden="1"/>
    </xf>
    <xf numFmtId="0" fontId="51" fillId="42" borderId="30" xfId="0" applyFon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/>
      <protection hidden="1"/>
    </xf>
    <xf numFmtId="0" fontId="0" fillId="42" borderId="16" xfId="0" applyFill="1" applyBorder="1" applyAlignment="1" applyProtection="1">
      <alignment/>
      <protection hidden="1"/>
    </xf>
    <xf numFmtId="0" fontId="0" fillId="42" borderId="30" xfId="0" applyFill="1" applyBorder="1" applyAlignment="1" applyProtection="1">
      <alignment/>
      <protection hidden="1"/>
    </xf>
    <xf numFmtId="0" fontId="0" fillId="42" borderId="0" xfId="0" applyFont="1" applyFill="1" applyBorder="1" applyAlignment="1" applyProtection="1">
      <alignment horizontal="right"/>
      <protection hidden="1"/>
    </xf>
    <xf numFmtId="0" fontId="0" fillId="42" borderId="0" xfId="0" applyFont="1" applyFill="1" applyBorder="1" applyAlignment="1" applyProtection="1">
      <alignment horizontal="center"/>
      <protection hidden="1"/>
    </xf>
    <xf numFmtId="0" fontId="10" fillId="42" borderId="0" xfId="0" applyFont="1" applyFill="1" applyBorder="1" applyAlignment="1" applyProtection="1">
      <alignment/>
      <protection hidden="1"/>
    </xf>
    <xf numFmtId="0" fontId="0" fillId="42" borderId="0" xfId="0" applyFont="1" applyFill="1" applyBorder="1" applyAlignment="1" applyProtection="1">
      <alignment/>
      <protection hidden="1"/>
    </xf>
    <xf numFmtId="0" fontId="0" fillId="42" borderId="0" xfId="0" applyFill="1" applyBorder="1" applyAlignment="1" applyProtection="1">
      <alignment horizontal="right"/>
      <protection hidden="1"/>
    </xf>
    <xf numFmtId="0" fontId="10" fillId="42" borderId="0" xfId="0" applyFont="1" applyFill="1" applyBorder="1" applyAlignment="1" applyProtection="1">
      <alignment horizontal="center"/>
      <protection hidden="1"/>
    </xf>
    <xf numFmtId="0" fontId="0" fillId="42" borderId="16" xfId="0" applyFont="1" applyFill="1" applyBorder="1" applyAlignment="1" applyProtection="1">
      <alignment horizontal="center"/>
      <protection hidden="1"/>
    </xf>
    <xf numFmtId="0" fontId="0" fillId="42" borderId="31" xfId="0" applyFill="1" applyBorder="1" applyAlignment="1" applyProtection="1">
      <alignment/>
      <protection hidden="1"/>
    </xf>
    <xf numFmtId="0" fontId="0" fillId="42" borderId="50" xfId="0" applyFill="1" applyBorder="1" applyAlignment="1" applyProtection="1">
      <alignment/>
      <protection hidden="1"/>
    </xf>
    <xf numFmtId="0" fontId="0" fillId="42" borderId="17" xfId="0" applyFill="1" applyBorder="1" applyAlignment="1" applyProtection="1">
      <alignment/>
      <protection hidden="1"/>
    </xf>
    <xf numFmtId="0" fontId="9" fillId="0" borderId="10" xfId="0" applyFont="1" applyFill="1" applyBorder="1" applyAlignment="1" applyProtection="1">
      <alignment vertical="center" wrapText="1"/>
      <protection hidden="1"/>
    </xf>
    <xf numFmtId="0" fontId="8" fillId="0" borderId="47" xfId="0" applyFont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/>
      <protection hidden="1"/>
    </xf>
    <xf numFmtId="0" fontId="0" fillId="0" borderId="48" xfId="0" applyFont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2" fontId="0" fillId="0" borderId="11" xfId="0" applyNumberForma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2" fontId="0" fillId="0" borderId="14" xfId="0" applyNumberForma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2" fontId="0" fillId="0" borderId="11" xfId="0" applyNumberFormat="1" applyBorder="1" applyAlignment="1" applyProtection="1">
      <alignment horizontal="center"/>
      <protection hidden="1"/>
    </xf>
    <xf numFmtId="2" fontId="0" fillId="0" borderId="14" xfId="0" applyNumberFormat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107" fillId="0" borderId="54" xfId="0" applyFont="1" applyBorder="1" applyAlignment="1" applyProtection="1">
      <alignment horizontal="right" vertical="center" wrapText="1"/>
      <protection hidden="1"/>
    </xf>
    <xf numFmtId="2" fontId="0" fillId="35" borderId="11" xfId="0" applyNumberFormat="1" applyFill="1" applyBorder="1" applyAlignment="1" applyProtection="1">
      <alignment horizontal="center" vertical="center" wrapText="1"/>
      <protection hidden="1"/>
    </xf>
    <xf numFmtId="0" fontId="107" fillId="0" borderId="11" xfId="0" applyFont="1" applyBorder="1" applyAlignment="1" applyProtection="1">
      <alignment horizontal="right" vertical="center" wrapText="1"/>
      <protection hidden="1"/>
    </xf>
    <xf numFmtId="2" fontId="0" fillId="35" borderId="14" xfId="0" applyNumberForma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8" fillId="0" borderId="61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/>
      <protection hidden="1"/>
    </xf>
    <xf numFmtId="0" fontId="0" fillId="0" borderId="62" xfId="0" applyBorder="1" applyAlignment="1" applyProtection="1">
      <alignment/>
      <protection hidden="1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0" fillId="0" borderId="59" xfId="0" applyBorder="1" applyAlignment="1" applyProtection="1">
      <alignment horizontal="center" vertical="center" wrapText="1"/>
      <protection hidden="1"/>
    </xf>
    <xf numFmtId="0" fontId="0" fillId="0" borderId="64" xfId="0" applyBorder="1" applyAlignment="1" applyProtection="1">
      <alignment horizontal="center" vertical="center" wrapText="1"/>
      <protection hidden="1"/>
    </xf>
    <xf numFmtId="172" fontId="0" fillId="0" borderId="14" xfId="0" applyNumberFormat="1" applyBorder="1" applyAlignment="1" applyProtection="1">
      <alignment horizontal="center" vertical="center" wrapText="1"/>
      <protection hidden="1"/>
    </xf>
    <xf numFmtId="172" fontId="0" fillId="0" borderId="14" xfId="0" applyNumberFormat="1" applyBorder="1" applyAlignment="1" applyProtection="1">
      <alignment horizontal="center"/>
      <protection hidden="1"/>
    </xf>
    <xf numFmtId="0" fontId="0" fillId="0" borderId="52" xfId="0" applyFont="1" applyBorder="1" applyAlignment="1" applyProtection="1">
      <alignment horizontal="left" vertical="center"/>
      <protection hidden="1"/>
    </xf>
    <xf numFmtId="0" fontId="0" fillId="0" borderId="53" xfId="0" applyBorder="1" applyAlignment="1" applyProtection="1">
      <alignment/>
      <protection hidden="1"/>
    </xf>
    <xf numFmtId="2" fontId="0" fillId="35" borderId="11" xfId="0" applyNumberFormat="1" applyFill="1" applyBorder="1" applyAlignment="1" applyProtection="1">
      <alignment horizontal="center"/>
      <protection hidden="1"/>
    </xf>
    <xf numFmtId="172" fontId="0" fillId="35" borderId="14" xfId="0" applyNumberForma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2" fontId="0" fillId="0" borderId="0" xfId="0" applyNumberFormat="1" applyBorder="1" applyAlignment="1" applyProtection="1">
      <alignment horizontal="center"/>
      <protection hidden="1"/>
    </xf>
    <xf numFmtId="172" fontId="0" fillId="0" borderId="16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8" fillId="0" borderId="31" xfId="0" applyFont="1" applyBorder="1" applyAlignment="1" applyProtection="1">
      <alignment horizontal="center" vertical="center"/>
      <protection hidden="1"/>
    </xf>
    <xf numFmtId="0" fontId="8" fillId="0" borderId="50" xfId="0" applyFont="1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/>
      <protection hidden="1"/>
    </xf>
    <xf numFmtId="2" fontId="13" fillId="35" borderId="50" xfId="0" applyNumberFormat="1" applyFont="1" applyFill="1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172" fontId="13" fillId="35" borderId="17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55" fillId="0" borderId="0" xfId="0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2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right"/>
      <protection hidden="1"/>
    </xf>
    <xf numFmtId="0" fontId="58" fillId="35" borderId="0" xfId="0" applyFont="1" applyFill="1" applyAlignment="1" applyProtection="1">
      <alignment horizontal="center" vertical="center"/>
      <protection hidden="1"/>
    </xf>
    <xf numFmtId="0" fontId="58" fillId="0" borderId="0" xfId="0" applyFont="1" applyAlignment="1" applyProtection="1">
      <alignment horizontal="left"/>
      <protection hidden="1"/>
    </xf>
    <xf numFmtId="0" fontId="24" fillId="0" borderId="0" xfId="0" applyFont="1" applyAlignment="1" applyProtection="1">
      <alignment horizontal="right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left"/>
      <protection hidden="1"/>
    </xf>
    <xf numFmtId="0" fontId="10" fillId="41" borderId="0" xfId="0" applyFont="1" applyFill="1" applyAlignment="1" applyProtection="1">
      <alignment/>
      <protection hidden="1"/>
    </xf>
    <xf numFmtId="0" fontId="0" fillId="36" borderId="28" xfId="0" applyFill="1" applyBorder="1" applyAlignment="1" applyProtection="1">
      <alignment horizontal="center"/>
      <protection hidden="1"/>
    </xf>
    <xf numFmtId="0" fontId="0" fillId="36" borderId="28" xfId="0" applyFill="1" applyBorder="1" applyAlignment="1" applyProtection="1">
      <alignment/>
      <protection hidden="1"/>
    </xf>
    <xf numFmtId="0" fontId="0" fillId="36" borderId="30" xfId="0" applyFill="1" applyBorder="1" applyAlignment="1" applyProtection="1">
      <alignment horizontal="center"/>
      <protection hidden="1"/>
    </xf>
    <xf numFmtId="0" fontId="0" fillId="36" borderId="30" xfId="0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36" borderId="30" xfId="0" applyFont="1" applyFill="1" applyBorder="1" applyAlignment="1" applyProtection="1">
      <alignment/>
      <protection hidden="1"/>
    </xf>
    <xf numFmtId="0" fontId="0" fillId="35" borderId="0" xfId="0" applyFont="1" applyFill="1" applyAlignment="1" applyProtection="1">
      <alignment horizontal="center"/>
      <protection hidden="1"/>
    </xf>
    <xf numFmtId="0" fontId="0" fillId="36" borderId="31" xfId="0" applyFont="1" applyFill="1" applyBorder="1" applyAlignment="1" applyProtection="1">
      <alignment/>
      <protection hidden="1"/>
    </xf>
    <xf numFmtId="3" fontId="0" fillId="0" borderId="0" xfId="0" applyNumberFormat="1" applyFont="1" applyAlignment="1" applyProtection="1">
      <alignment horizontal="center"/>
      <protection hidden="1"/>
    </xf>
    <xf numFmtId="2" fontId="0" fillId="35" borderId="0" xfId="0" applyNumberFormat="1" applyFont="1" applyFill="1" applyAlignment="1" applyProtection="1">
      <alignment horizontal="center"/>
      <protection hidden="1"/>
    </xf>
    <xf numFmtId="0" fontId="0" fillId="36" borderId="31" xfId="0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127" fillId="0" borderId="0" xfId="0" applyFont="1" applyAlignment="1" applyProtection="1">
      <alignment horizontal="right"/>
      <protection hidden="1"/>
    </xf>
    <xf numFmtId="2" fontId="126" fillId="35" borderId="0" xfId="0" applyNumberFormat="1" applyFont="1" applyFill="1" applyAlignment="1" applyProtection="1">
      <alignment horizontal="center"/>
      <protection hidden="1"/>
    </xf>
    <xf numFmtId="0" fontId="128" fillId="0" borderId="0" xfId="0" applyFont="1" applyAlignment="1" applyProtection="1">
      <alignment/>
      <protection hidden="1"/>
    </xf>
    <xf numFmtId="0" fontId="129" fillId="0" borderId="0" xfId="0" applyFont="1" applyAlignment="1" applyProtection="1">
      <alignment horizontal="right"/>
      <protection hidden="1"/>
    </xf>
    <xf numFmtId="2" fontId="130" fillId="35" borderId="0" xfId="0" applyNumberFormat="1" applyFont="1" applyFill="1" applyAlignment="1" applyProtection="1">
      <alignment horizontal="center"/>
      <protection hidden="1"/>
    </xf>
    <xf numFmtId="0" fontId="131" fillId="0" borderId="0" xfId="0" applyFont="1" applyAlignment="1" applyProtection="1">
      <alignment/>
      <protection hidden="1"/>
    </xf>
    <xf numFmtId="172" fontId="0" fillId="0" borderId="0" xfId="0" applyNumberForma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top" wrapText="1"/>
      <protection hidden="1"/>
    </xf>
    <xf numFmtId="0" fontId="16" fillId="0" borderId="0" xfId="0" applyFont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6" fillId="0" borderId="0" xfId="0" applyFont="1" applyAlignment="1" applyProtection="1">
      <alignment horizontal="right"/>
      <protection hidden="1"/>
    </xf>
    <xf numFmtId="0" fontId="0" fillId="39" borderId="0" xfId="0" applyFill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174" fontId="0" fillId="0" borderId="0" xfId="0" applyNumberFormat="1" applyAlignment="1" applyProtection="1">
      <alignment horizontal="center"/>
      <protection hidden="1"/>
    </xf>
    <xf numFmtId="0" fontId="132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2" fontId="0" fillId="35" borderId="0" xfId="0" applyNumberForma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10" fillId="35" borderId="0" xfId="0" applyFont="1" applyFill="1" applyAlignment="1" applyProtection="1">
      <alignment/>
      <protection hidden="1"/>
    </xf>
    <xf numFmtId="0" fontId="49" fillId="0" borderId="0" xfId="0" applyFon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hidden="1"/>
    </xf>
    <xf numFmtId="172" fontId="37" fillId="0" borderId="0" xfId="0" applyNumberFormat="1" applyFont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/>
    </xf>
    <xf numFmtId="0" fontId="74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/>
      <protection hidden="1"/>
    </xf>
    <xf numFmtId="2" fontId="0" fillId="35" borderId="0" xfId="0" applyNumberFormat="1" applyFill="1" applyAlignment="1" applyProtection="1">
      <alignment horizontal="center"/>
      <protection hidden="1"/>
    </xf>
    <xf numFmtId="0" fontId="0" fillId="19" borderId="0" xfId="0" applyFill="1" applyAlignment="1" applyProtection="1">
      <alignment/>
      <protection hidden="1"/>
    </xf>
    <xf numFmtId="0" fontId="0" fillId="0" borderId="0" xfId="0" applyFont="1" applyAlignment="1" applyProtection="1">
      <alignment horizontal="left" wrapText="1"/>
      <protection hidden="1"/>
    </xf>
    <xf numFmtId="0" fontId="0" fillId="41" borderId="0" xfId="0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35" borderId="0" xfId="0" applyFont="1" applyFill="1" applyAlignment="1" applyProtection="1">
      <alignment/>
      <protection hidden="1"/>
    </xf>
    <xf numFmtId="0" fontId="79" fillId="35" borderId="0" xfId="0" applyFont="1" applyFill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10" fillId="35" borderId="0" xfId="0" applyFont="1" applyFill="1" applyAlignment="1" applyProtection="1">
      <alignment horizontal="center"/>
      <protection hidden="1"/>
    </xf>
    <xf numFmtId="0" fontId="75" fillId="0" borderId="0" xfId="0" applyFont="1" applyFill="1" applyAlignment="1" applyProtection="1">
      <alignment/>
      <protection hidden="1"/>
    </xf>
    <xf numFmtId="0" fontId="72" fillId="0" borderId="0" xfId="0" applyFont="1" applyFill="1" applyAlignment="1" applyProtection="1">
      <alignment horizontal="right"/>
      <protection hidden="1"/>
    </xf>
    <xf numFmtId="2" fontId="73" fillId="0" borderId="0" xfId="0" applyNumberFormat="1" applyFont="1" applyFill="1" applyAlignment="1" applyProtection="1">
      <alignment horizontal="center" vertical="center"/>
      <protection hidden="1"/>
    </xf>
    <xf numFmtId="0" fontId="73" fillId="0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 horizontal="center"/>
      <protection hidden="1"/>
    </xf>
    <xf numFmtId="0" fontId="21" fillId="41" borderId="0" xfId="0" applyFont="1" applyFill="1" applyAlignment="1" applyProtection="1">
      <alignment horizontal="center"/>
      <protection hidden="1"/>
    </xf>
    <xf numFmtId="0" fontId="47" fillId="41" borderId="0" xfId="0" applyFont="1" applyFill="1" applyAlignment="1" applyProtection="1">
      <alignment horizontal="left"/>
      <protection hidden="1"/>
    </xf>
    <xf numFmtId="2" fontId="21" fillId="41" borderId="0" xfId="0" applyNumberFormat="1" applyFont="1" applyFill="1" applyBorder="1" applyAlignment="1" applyProtection="1">
      <alignment horizontal="center"/>
      <protection hidden="1"/>
    </xf>
    <xf numFmtId="0" fontId="21" fillId="41" borderId="0" xfId="0" applyFont="1" applyFill="1" applyBorder="1" applyAlignment="1" applyProtection="1">
      <alignment horizontal="center"/>
      <protection hidden="1"/>
    </xf>
    <xf numFmtId="0" fontId="25" fillId="41" borderId="0" xfId="0" applyFont="1" applyFill="1" applyBorder="1" applyAlignment="1" applyProtection="1">
      <alignment/>
      <protection hidden="1"/>
    </xf>
    <xf numFmtId="0" fontId="76" fillId="0" borderId="0" xfId="0" applyFont="1" applyFill="1" applyAlignment="1" applyProtection="1">
      <alignment/>
      <protection hidden="1"/>
    </xf>
    <xf numFmtId="0" fontId="25" fillId="0" borderId="0" xfId="0" applyFont="1" applyFill="1" applyAlignment="1" applyProtection="1">
      <alignment/>
      <protection hidden="1"/>
    </xf>
    <xf numFmtId="0" fontId="10" fillId="0" borderId="0" xfId="0" applyFont="1" applyFill="1" applyAlignment="1" applyProtection="1">
      <alignment horizontal="right"/>
      <protection hidden="1"/>
    </xf>
    <xf numFmtId="1" fontId="48" fillId="0" borderId="0" xfId="0" applyNumberFormat="1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/>
      <protection hidden="1"/>
    </xf>
    <xf numFmtId="0" fontId="0" fillId="41" borderId="0" xfId="0" applyFill="1" applyBorder="1" applyAlignment="1" applyProtection="1">
      <alignment/>
      <protection hidden="1"/>
    </xf>
    <xf numFmtId="2" fontId="73" fillId="0" borderId="0" xfId="0" applyNumberFormat="1" applyFont="1" applyFill="1" applyAlignment="1" applyProtection="1">
      <alignment horizontal="center"/>
      <protection hidden="1"/>
    </xf>
    <xf numFmtId="0" fontId="77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2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50" fillId="41" borderId="0" xfId="0" applyFont="1" applyFill="1" applyAlignment="1" applyProtection="1">
      <alignment/>
      <protection hidden="1"/>
    </xf>
    <xf numFmtId="0" fontId="130" fillId="0" borderId="0" xfId="0" applyFont="1" applyAlignment="1" applyProtection="1">
      <alignment horizontal="center"/>
      <protection hidden="1"/>
    </xf>
    <xf numFmtId="172" fontId="0" fillId="0" borderId="6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66" xfId="0" applyBorder="1" applyAlignment="1" applyProtection="1">
      <alignment horizontal="center"/>
      <protection hidden="1"/>
    </xf>
    <xf numFmtId="172" fontId="0" fillId="0" borderId="0" xfId="0" applyNumberFormat="1" applyAlignment="1" applyProtection="1">
      <alignment horizontal="center"/>
      <protection hidden="1"/>
    </xf>
    <xf numFmtId="2" fontId="126" fillId="0" borderId="0" xfId="0" applyNumberFormat="1" applyFont="1" applyAlignment="1" applyProtection="1">
      <alignment horizontal="center"/>
      <protection hidden="1"/>
    </xf>
    <xf numFmtId="2" fontId="133" fillId="0" borderId="0" xfId="0" applyNumberFormat="1" applyFont="1" applyAlignment="1" applyProtection="1">
      <alignment horizontal="center"/>
      <protection hidden="1"/>
    </xf>
    <xf numFmtId="2" fontId="133" fillId="0" borderId="0" xfId="0" applyNumberFormat="1" applyFont="1" applyAlignment="1" applyProtection="1">
      <alignment horizontal="center"/>
      <protection hidden="1"/>
    </xf>
    <xf numFmtId="2" fontId="10" fillId="35" borderId="0" xfId="0" applyNumberFormat="1" applyFont="1" applyFill="1" applyAlignment="1" applyProtection="1">
      <alignment horizontal="center"/>
      <protection hidden="1"/>
    </xf>
    <xf numFmtId="0" fontId="134" fillId="0" borderId="0" xfId="0" applyFont="1" applyAlignment="1" applyProtection="1">
      <alignment horizontal="center"/>
      <protection hidden="1"/>
    </xf>
    <xf numFmtId="0" fontId="0" fillId="35" borderId="0" xfId="0" applyFill="1" applyAlignment="1" applyProtection="1">
      <alignment horizontal="center"/>
      <protection hidden="1"/>
    </xf>
    <xf numFmtId="0" fontId="10" fillId="0" borderId="47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35" borderId="14" xfId="0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/>
      <protection hidden="1"/>
    </xf>
    <xf numFmtId="0" fontId="10" fillId="0" borderId="52" xfId="0" applyFont="1" applyBorder="1" applyAlignment="1" applyProtection="1">
      <alignment horizontal="center" vertical="center"/>
      <protection hidden="1"/>
    </xf>
    <xf numFmtId="0" fontId="10" fillId="0" borderId="53" xfId="0" applyFont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left" vertical="center"/>
      <protection hidden="1"/>
    </xf>
    <xf numFmtId="0" fontId="0" fillId="0" borderId="40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/>
      <protection hidden="1"/>
    </xf>
    <xf numFmtId="0" fontId="107" fillId="0" borderId="11" xfId="0" applyFont="1" applyBorder="1" applyAlignment="1" applyProtection="1">
      <alignment horizontal="center" vertical="center" wrapText="1"/>
      <protection hidden="1"/>
    </xf>
    <xf numFmtId="2" fontId="0" fillId="35" borderId="14" xfId="0" applyNumberFormat="1" applyFill="1" applyBorder="1" applyAlignment="1" applyProtection="1">
      <alignment horizontal="center"/>
      <protection hidden="1"/>
    </xf>
    <xf numFmtId="0" fontId="0" fillId="0" borderId="31" xfId="0" applyFont="1" applyBorder="1" applyAlignment="1" applyProtection="1">
      <alignment/>
      <protection hidden="1"/>
    </xf>
    <xf numFmtId="2" fontId="10" fillId="35" borderId="50" xfId="0" applyNumberFormat="1" applyFont="1" applyFill="1" applyBorder="1" applyAlignment="1" applyProtection="1">
      <alignment horizontal="center"/>
      <protection hidden="1"/>
    </xf>
    <xf numFmtId="0" fontId="10" fillId="35" borderId="17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0" fillId="0" borderId="0" xfId="0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177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0" fillId="43" borderId="0" xfId="0" applyFont="1" applyFill="1" applyAlignment="1" applyProtection="1">
      <alignment horizontal="left"/>
      <protection hidden="1"/>
    </xf>
    <xf numFmtId="0" fontId="0" fillId="43" borderId="0" xfId="0" applyFill="1" applyAlignment="1" applyProtection="1">
      <alignment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85">
    <dxf>
      <font>
        <b/>
        <i/>
        <color rgb="FF00B050"/>
      </font>
    </dxf>
    <dxf>
      <font>
        <b/>
        <i val="0"/>
      </font>
      <fill>
        <patternFill>
          <bgColor rgb="FFFF0000"/>
        </patternFill>
      </fill>
    </dxf>
    <dxf>
      <font>
        <b/>
        <i/>
        <color rgb="FF00B050"/>
      </font>
    </dxf>
    <dxf>
      <font>
        <b/>
        <i val="0"/>
      </font>
      <fill>
        <patternFill>
          <bgColor rgb="FFFF0000"/>
        </patternFill>
      </fill>
    </dxf>
    <dxf>
      <font>
        <b/>
        <i/>
        <color rgb="FF00B050"/>
      </font>
    </dxf>
    <dxf>
      <font>
        <b/>
        <i val="0"/>
      </font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color auto="1"/>
      </font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color theme="0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b/>
        <i/>
        <color rgb="FF00B050"/>
      </font>
    </dxf>
    <dxf>
      <font>
        <b/>
        <i val="0"/>
        <color auto="1"/>
      </font>
      <fill>
        <patternFill>
          <bgColor rgb="FFFFC00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rgb="FF00B050"/>
      </font>
    </dxf>
    <dxf>
      <font>
        <b/>
        <i/>
        <color rgb="FF00B050"/>
      </font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b/>
        <i/>
        <color rgb="FF00B050"/>
      </font>
    </dxf>
    <dxf>
      <font>
        <b/>
        <i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name val="Cambria"/>
        <color theme="0" tint="-0.24993999302387238"/>
      </font>
      <fill>
        <patternFill patternType="solid">
          <bgColor theme="0" tint="-0.24993999302387238"/>
        </patternFill>
      </fill>
      <border>
        <left/>
        <right/>
        <top/>
        <bottom/>
      </border>
    </dxf>
    <dxf>
      <font>
        <name val="Cambria"/>
        <color theme="0" tint="-0.24993999302387238"/>
      </font>
      <fill>
        <patternFill patternType="solid">
          <bgColor theme="0" tint="-0.24993999302387238"/>
        </patternFill>
      </fill>
      <border>
        <left/>
        <right/>
        <top/>
        <bottom/>
      </border>
    </dxf>
    <dxf>
      <font>
        <strike val="0"/>
        <name val="Cambria"/>
        <color theme="0" tint="-0.24993999302387238"/>
      </font>
      <fill>
        <patternFill patternType="solid">
          <bgColor theme="0" tint="-0.24993999302387238"/>
        </patternFill>
      </fill>
      <border>
        <left/>
        <right/>
        <top/>
        <bottom/>
      </border>
    </dxf>
    <dxf>
      <font>
        <name val="Cambria"/>
        <color theme="0" tint="-0.24993999302387238"/>
      </font>
      <fill>
        <patternFill patternType="solid">
          <bgColor theme="0" tint="-0.24993999302387238"/>
        </patternFill>
      </fill>
      <border>
        <left/>
        <right/>
        <top/>
        <bottom/>
      </border>
    </dxf>
    <dxf>
      <font>
        <name val="Cambria"/>
        <color theme="0" tint="-0.24993999302387238"/>
      </font>
      <fill>
        <patternFill patternType="solid">
          <bgColor theme="0" tint="-0.24993999302387238"/>
        </patternFill>
      </fill>
      <border>
        <left/>
        <right/>
        <top/>
        <bottom/>
      </border>
    </dxf>
    <dxf>
      <font>
        <name val="Cambria"/>
        <color theme="0" tint="-0.24993999302387238"/>
      </font>
      <fill>
        <patternFill patternType="solid">
          <bgColor theme="0" tint="-0.24993999302387238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ont>
        <name val="Cambria"/>
        <color theme="0" tint="-0.24993999302387238"/>
      </font>
      <fill>
        <patternFill patternType="solid">
          <bgColor theme="0" tint="-0.24993999302387238"/>
        </patternFill>
      </fill>
      <border>
        <left/>
        <right/>
        <top/>
        <bottom/>
      </border>
    </dxf>
    <dxf>
      <font>
        <name val="Cambria"/>
        <color theme="0" tint="-0.24993999302387238"/>
      </font>
      <fill>
        <patternFill patternType="solid">
          <bgColor theme="0" tint="-0.24993999302387238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5.emf" /><Relationship Id="rId3" Type="http://schemas.openxmlformats.org/officeDocument/2006/relationships/image" Target="../media/image26.emf" /><Relationship Id="rId4" Type="http://schemas.openxmlformats.org/officeDocument/2006/relationships/image" Target="../media/image27.emf" /><Relationship Id="rId5" Type="http://schemas.openxmlformats.org/officeDocument/2006/relationships/image" Target="../media/image28.emf" /><Relationship Id="rId6" Type="http://schemas.openxmlformats.org/officeDocument/2006/relationships/image" Target="../media/image29.emf" /><Relationship Id="rId7" Type="http://schemas.openxmlformats.org/officeDocument/2006/relationships/image" Target="../media/image30.emf" /><Relationship Id="rId8" Type="http://schemas.openxmlformats.org/officeDocument/2006/relationships/image" Target="../media/image31.jpeg" /><Relationship Id="rId9" Type="http://schemas.openxmlformats.org/officeDocument/2006/relationships/image" Target="../media/image32.emf" /><Relationship Id="rId10" Type="http://schemas.openxmlformats.org/officeDocument/2006/relationships/image" Target="../media/image33.emf" /><Relationship Id="rId11" Type="http://schemas.openxmlformats.org/officeDocument/2006/relationships/image" Target="../media/image34.emf" /><Relationship Id="rId12" Type="http://schemas.openxmlformats.org/officeDocument/2006/relationships/image" Target="../media/image35.emf" /><Relationship Id="rId13" Type="http://schemas.openxmlformats.org/officeDocument/2006/relationships/image" Target="../media/image36.jpeg" /><Relationship Id="rId14" Type="http://schemas.openxmlformats.org/officeDocument/2006/relationships/image" Target="../media/image16.emf" /><Relationship Id="rId15" Type="http://schemas.openxmlformats.org/officeDocument/2006/relationships/image" Target="../media/image37.emf" /><Relationship Id="rId16" Type="http://schemas.openxmlformats.org/officeDocument/2006/relationships/image" Target="../media/image38.emf" /><Relationship Id="rId17" Type="http://schemas.openxmlformats.org/officeDocument/2006/relationships/image" Target="../media/image39.emf" /><Relationship Id="rId18" Type="http://schemas.openxmlformats.org/officeDocument/2006/relationships/image" Target="../media/image40.emf" /><Relationship Id="rId19" Type="http://schemas.openxmlformats.org/officeDocument/2006/relationships/image" Target="../media/image41.emf" /><Relationship Id="rId20" Type="http://schemas.openxmlformats.org/officeDocument/2006/relationships/image" Target="../media/image42.emf" /><Relationship Id="rId21" Type="http://schemas.openxmlformats.org/officeDocument/2006/relationships/image" Target="../media/image43.emf" /><Relationship Id="rId22" Type="http://schemas.openxmlformats.org/officeDocument/2006/relationships/image" Target="../media/image44.emf" /><Relationship Id="rId23" Type="http://schemas.openxmlformats.org/officeDocument/2006/relationships/image" Target="../media/image45.emf" /><Relationship Id="rId24" Type="http://schemas.openxmlformats.org/officeDocument/2006/relationships/image" Target="../media/image3.emf" /><Relationship Id="rId25" Type="http://schemas.openxmlformats.org/officeDocument/2006/relationships/image" Target="../media/image46.png" /><Relationship Id="rId26" Type="http://schemas.openxmlformats.org/officeDocument/2006/relationships/image" Target="../media/image4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6.emf" /><Relationship Id="rId4" Type="http://schemas.openxmlformats.org/officeDocument/2006/relationships/image" Target="../media/image13.emf" /><Relationship Id="rId5" Type="http://schemas.openxmlformats.org/officeDocument/2006/relationships/image" Target="../media/image2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24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Relationship Id="rId14" Type="http://schemas.openxmlformats.org/officeDocument/2006/relationships/image" Target="../media/image3.emf" /><Relationship Id="rId15" Type="http://schemas.openxmlformats.org/officeDocument/2006/relationships/image" Target="../media/image6.emf" /><Relationship Id="rId16" Type="http://schemas.openxmlformats.org/officeDocument/2006/relationships/image" Target="../media/image7.emf" /><Relationship Id="rId17" Type="http://schemas.openxmlformats.org/officeDocument/2006/relationships/image" Target="../media/image8.emf" /><Relationship Id="rId18" Type="http://schemas.openxmlformats.org/officeDocument/2006/relationships/image" Target="../media/image9.emf" /><Relationship Id="rId19" Type="http://schemas.openxmlformats.org/officeDocument/2006/relationships/image" Target="../media/image10.emf" /><Relationship Id="rId20" Type="http://schemas.openxmlformats.org/officeDocument/2006/relationships/image" Target="../media/image1.emf" /><Relationship Id="rId21" Type="http://schemas.openxmlformats.org/officeDocument/2006/relationships/image" Target="../media/image15.emf" /><Relationship Id="rId22" Type="http://schemas.openxmlformats.org/officeDocument/2006/relationships/image" Target="../media/image12.emf" /><Relationship Id="rId23" Type="http://schemas.openxmlformats.org/officeDocument/2006/relationships/image" Target="../media/image18.emf" /><Relationship Id="rId24" Type="http://schemas.openxmlformats.org/officeDocument/2006/relationships/image" Target="../media/image20.emf" /><Relationship Id="rId25" Type="http://schemas.openxmlformats.org/officeDocument/2006/relationships/image" Target="../media/image19.emf" /><Relationship Id="rId26" Type="http://schemas.openxmlformats.org/officeDocument/2006/relationships/image" Target="../media/image14.emf" /><Relationship Id="rId27" Type="http://schemas.openxmlformats.org/officeDocument/2006/relationships/image" Target="../media/image21.emf" /><Relationship Id="rId28" Type="http://schemas.openxmlformats.org/officeDocument/2006/relationships/image" Target="../media/image17.emf" /><Relationship Id="rId29" Type="http://schemas.openxmlformats.org/officeDocument/2006/relationships/image" Target="../media/image7.emf" /><Relationship Id="rId30" Type="http://schemas.openxmlformats.org/officeDocument/2006/relationships/image" Target="../media/image9.emf" /><Relationship Id="rId31" Type="http://schemas.openxmlformats.org/officeDocument/2006/relationships/image" Target="../media/image10.emf" /><Relationship Id="rId32" Type="http://schemas.openxmlformats.org/officeDocument/2006/relationships/image" Target="../media/image6.emf" /><Relationship Id="rId33" Type="http://schemas.openxmlformats.org/officeDocument/2006/relationships/image" Target="../media/image22.emf" /><Relationship Id="rId34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11</xdr:row>
      <xdr:rowOff>104775</xdr:rowOff>
    </xdr:from>
    <xdr:to>
      <xdr:col>4</xdr:col>
      <xdr:colOff>85725</xdr:colOff>
      <xdr:row>17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171700"/>
          <a:ext cx="2724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17</xdr:row>
      <xdr:rowOff>123825</xdr:rowOff>
    </xdr:from>
    <xdr:to>
      <xdr:col>9</xdr:col>
      <xdr:colOff>0</xdr:colOff>
      <xdr:row>28</xdr:row>
      <xdr:rowOff>76200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47975" y="3743325"/>
          <a:ext cx="293370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76</xdr:row>
      <xdr:rowOff>152400</xdr:rowOff>
    </xdr:from>
    <xdr:to>
      <xdr:col>5</xdr:col>
      <xdr:colOff>457200</xdr:colOff>
      <xdr:row>93</xdr:row>
      <xdr:rowOff>19050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5792450"/>
          <a:ext cx="37623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174</xdr:row>
      <xdr:rowOff>47625</xdr:rowOff>
    </xdr:from>
    <xdr:to>
      <xdr:col>3</xdr:col>
      <xdr:colOff>123825</xdr:colOff>
      <xdr:row>189</xdr:row>
      <xdr:rowOff>133350</xdr:rowOff>
    </xdr:to>
    <xdr:pic>
      <xdr:nvPicPr>
        <xdr:cNvPr id="4" name="Picture 1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2108775"/>
          <a:ext cx="22002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221</xdr:row>
      <xdr:rowOff>38100</xdr:rowOff>
    </xdr:from>
    <xdr:to>
      <xdr:col>8</xdr:col>
      <xdr:colOff>409575</xdr:colOff>
      <xdr:row>229</xdr:row>
      <xdr:rowOff>123825</xdr:rowOff>
    </xdr:to>
    <xdr:pic>
      <xdr:nvPicPr>
        <xdr:cNvPr id="5" name="Picture 24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40643175"/>
          <a:ext cx="2352675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231</xdr:row>
      <xdr:rowOff>19050</xdr:rowOff>
    </xdr:from>
    <xdr:to>
      <xdr:col>8</xdr:col>
      <xdr:colOff>466725</xdr:colOff>
      <xdr:row>238</xdr:row>
      <xdr:rowOff>123825</xdr:rowOff>
    </xdr:to>
    <xdr:pic>
      <xdr:nvPicPr>
        <xdr:cNvPr id="6" name="Picture 25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24225" y="42510075"/>
          <a:ext cx="23145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256</xdr:row>
      <xdr:rowOff>47625</xdr:rowOff>
    </xdr:from>
    <xdr:to>
      <xdr:col>8</xdr:col>
      <xdr:colOff>114300</xdr:colOff>
      <xdr:row>262</xdr:row>
      <xdr:rowOff>95250</xdr:rowOff>
    </xdr:to>
    <xdr:pic>
      <xdr:nvPicPr>
        <xdr:cNvPr id="7" name="Picture 29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362450" y="48044100"/>
          <a:ext cx="9239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279</xdr:row>
      <xdr:rowOff>28575</xdr:rowOff>
    </xdr:from>
    <xdr:to>
      <xdr:col>4</xdr:col>
      <xdr:colOff>285750</xdr:colOff>
      <xdr:row>291</xdr:row>
      <xdr:rowOff>123825</xdr:rowOff>
    </xdr:to>
    <xdr:pic>
      <xdr:nvPicPr>
        <xdr:cNvPr id="8" name="Obrázek 12" descr="Bez názvu.jpg"/>
        <xdr:cNvPicPr preferRelativeResize="1">
          <a:picLocks noChangeAspect="1"/>
        </xdr:cNvPicPr>
      </xdr:nvPicPr>
      <xdr:blipFill>
        <a:blip r:embed="rId8"/>
        <a:srcRect r="74378" b="64802"/>
        <a:stretch>
          <a:fillRect/>
        </a:stretch>
      </xdr:blipFill>
      <xdr:spPr>
        <a:xfrm>
          <a:off x="542925" y="51692175"/>
          <a:ext cx="24479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281</xdr:row>
      <xdr:rowOff>19050</xdr:rowOff>
    </xdr:from>
    <xdr:to>
      <xdr:col>8</xdr:col>
      <xdr:colOff>266700</xdr:colOff>
      <xdr:row>289</xdr:row>
      <xdr:rowOff>38100</xdr:rowOff>
    </xdr:to>
    <xdr:pic>
      <xdr:nvPicPr>
        <xdr:cNvPr id="9" name="Picture 3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29125" y="52006500"/>
          <a:ext cx="10096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352425</xdr:colOff>
      <xdr:row>324</xdr:row>
      <xdr:rowOff>19050</xdr:rowOff>
    </xdr:from>
    <xdr:to>
      <xdr:col>8</xdr:col>
      <xdr:colOff>533400</xdr:colOff>
      <xdr:row>329</xdr:row>
      <xdr:rowOff>114300</xdr:rowOff>
    </xdr:to>
    <xdr:pic>
      <xdr:nvPicPr>
        <xdr:cNvPr id="10" name="Picture 34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057525" y="60188475"/>
          <a:ext cx="2647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219075</xdr:colOff>
      <xdr:row>362</xdr:row>
      <xdr:rowOff>9525</xdr:rowOff>
    </xdr:from>
    <xdr:to>
      <xdr:col>8</xdr:col>
      <xdr:colOff>9525</xdr:colOff>
      <xdr:row>370</xdr:row>
      <xdr:rowOff>28575</xdr:rowOff>
    </xdr:to>
    <xdr:pic>
      <xdr:nvPicPr>
        <xdr:cNvPr id="11" name="Picture 32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66189225"/>
          <a:ext cx="10096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333</xdr:row>
      <xdr:rowOff>114300</xdr:rowOff>
    </xdr:from>
    <xdr:to>
      <xdr:col>3</xdr:col>
      <xdr:colOff>428625</xdr:colOff>
      <xdr:row>346</xdr:row>
      <xdr:rowOff>104775</xdr:rowOff>
    </xdr:to>
    <xdr:pic>
      <xdr:nvPicPr>
        <xdr:cNvPr id="12" name="Picture 3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71450" y="61541025"/>
          <a:ext cx="23336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333</xdr:row>
      <xdr:rowOff>76200</xdr:rowOff>
    </xdr:from>
    <xdr:to>
      <xdr:col>8</xdr:col>
      <xdr:colOff>180975</xdr:colOff>
      <xdr:row>347</xdr:row>
      <xdr:rowOff>28575</xdr:rowOff>
    </xdr:to>
    <xdr:pic>
      <xdr:nvPicPr>
        <xdr:cNvPr id="13" name="Picture 36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67025" y="61502925"/>
          <a:ext cx="2486025" cy="2219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361</xdr:row>
      <xdr:rowOff>28575</xdr:rowOff>
    </xdr:from>
    <xdr:to>
      <xdr:col>4</xdr:col>
      <xdr:colOff>514350</xdr:colOff>
      <xdr:row>369</xdr:row>
      <xdr:rowOff>85725</xdr:rowOff>
    </xdr:to>
    <xdr:pic>
      <xdr:nvPicPr>
        <xdr:cNvPr id="14" name="Obrázek 21" descr="fdoska2.jpg"/>
        <xdr:cNvPicPr preferRelativeResize="1">
          <a:picLocks noChangeAspect="1"/>
        </xdr:cNvPicPr>
      </xdr:nvPicPr>
      <xdr:blipFill>
        <a:blip r:embed="rId13"/>
        <a:srcRect l="4307" t="18081" r="21115" b="34173"/>
        <a:stretch>
          <a:fillRect/>
        </a:stretch>
      </xdr:blipFill>
      <xdr:spPr>
        <a:xfrm>
          <a:off x="266700" y="66046350"/>
          <a:ext cx="29527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298</xdr:row>
      <xdr:rowOff>9525</xdr:rowOff>
    </xdr:from>
    <xdr:to>
      <xdr:col>5</xdr:col>
      <xdr:colOff>628650</xdr:colOff>
      <xdr:row>300</xdr:row>
      <xdr:rowOff>57150</xdr:rowOff>
    </xdr:to>
    <xdr:sp>
      <xdr:nvSpPr>
        <xdr:cNvPr id="15" name="Přímá spojovací šipka 25"/>
        <xdr:cNvSpPr>
          <a:spLocks/>
        </xdr:cNvSpPr>
      </xdr:nvSpPr>
      <xdr:spPr>
        <a:xfrm>
          <a:off x="2743200" y="55787925"/>
          <a:ext cx="1200150" cy="400050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298</xdr:row>
      <xdr:rowOff>0</xdr:rowOff>
    </xdr:from>
    <xdr:to>
      <xdr:col>4</xdr:col>
      <xdr:colOff>47625</xdr:colOff>
      <xdr:row>300</xdr:row>
      <xdr:rowOff>57150</xdr:rowOff>
    </xdr:to>
    <xdr:sp>
      <xdr:nvSpPr>
        <xdr:cNvPr id="16" name="Přímá spojovací šipka 27"/>
        <xdr:cNvSpPr>
          <a:spLocks/>
        </xdr:cNvSpPr>
      </xdr:nvSpPr>
      <xdr:spPr>
        <a:xfrm flipH="1">
          <a:off x="1400175" y="55778400"/>
          <a:ext cx="1352550" cy="409575"/>
        </a:xfrm>
        <a:prstGeom prst="straightConnector1">
          <a:avLst/>
        </a:prstGeom>
        <a:noFill/>
        <a:ln w="2857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305</xdr:row>
      <xdr:rowOff>133350</xdr:rowOff>
    </xdr:from>
    <xdr:to>
      <xdr:col>6</xdr:col>
      <xdr:colOff>590550</xdr:colOff>
      <xdr:row>312</xdr:row>
      <xdr:rowOff>66675</xdr:rowOff>
    </xdr:to>
    <xdr:pic>
      <xdr:nvPicPr>
        <xdr:cNvPr id="17" name="Picture 4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5300" y="57073800"/>
          <a:ext cx="40481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133350</xdr:colOff>
      <xdr:row>98</xdr:row>
      <xdr:rowOff>161925</xdr:rowOff>
    </xdr:from>
    <xdr:to>
      <xdr:col>15</xdr:col>
      <xdr:colOff>19050</xdr:colOff>
      <xdr:row>104</xdr:row>
      <xdr:rowOff>9525</xdr:rowOff>
    </xdr:to>
    <xdr:pic>
      <xdr:nvPicPr>
        <xdr:cNvPr id="18" name="Picture 48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00900" y="18573750"/>
          <a:ext cx="2867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395</xdr:row>
      <xdr:rowOff>0</xdr:rowOff>
    </xdr:from>
    <xdr:to>
      <xdr:col>5</xdr:col>
      <xdr:colOff>333375</xdr:colOff>
      <xdr:row>398</xdr:row>
      <xdr:rowOff>95250</xdr:rowOff>
    </xdr:to>
    <xdr:pic>
      <xdr:nvPicPr>
        <xdr:cNvPr id="19" name="Picture 50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71885175"/>
          <a:ext cx="36480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399</xdr:row>
      <xdr:rowOff>114300</xdr:rowOff>
    </xdr:from>
    <xdr:to>
      <xdr:col>5</xdr:col>
      <xdr:colOff>190500</xdr:colOff>
      <xdr:row>404</xdr:row>
      <xdr:rowOff>104775</xdr:rowOff>
    </xdr:to>
    <xdr:pic>
      <xdr:nvPicPr>
        <xdr:cNvPr id="20" name="Picture 51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72666225"/>
          <a:ext cx="35052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405</xdr:row>
      <xdr:rowOff>142875</xdr:rowOff>
    </xdr:from>
    <xdr:to>
      <xdr:col>5</xdr:col>
      <xdr:colOff>200025</xdr:colOff>
      <xdr:row>410</xdr:row>
      <xdr:rowOff>76200</xdr:rowOff>
    </xdr:to>
    <xdr:pic>
      <xdr:nvPicPr>
        <xdr:cNvPr id="21" name="Picture 51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73685400"/>
          <a:ext cx="3514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416</xdr:row>
      <xdr:rowOff>47625</xdr:rowOff>
    </xdr:from>
    <xdr:to>
      <xdr:col>3</xdr:col>
      <xdr:colOff>123825</xdr:colOff>
      <xdr:row>431</xdr:row>
      <xdr:rowOff>133350</xdr:rowOff>
    </xdr:to>
    <xdr:pic>
      <xdr:nvPicPr>
        <xdr:cNvPr id="22" name="Picture 1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457050"/>
          <a:ext cx="22002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423</xdr:row>
      <xdr:rowOff>57150</xdr:rowOff>
    </xdr:from>
    <xdr:to>
      <xdr:col>7</xdr:col>
      <xdr:colOff>161925</xdr:colOff>
      <xdr:row>431</xdr:row>
      <xdr:rowOff>38100</xdr:rowOff>
    </xdr:to>
    <xdr:pic>
      <xdr:nvPicPr>
        <xdr:cNvPr id="23" name="Picture 60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90800" y="76676250"/>
          <a:ext cx="21336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59</xdr:row>
      <xdr:rowOff>47625</xdr:rowOff>
    </xdr:from>
    <xdr:to>
      <xdr:col>16</xdr:col>
      <xdr:colOff>247650</xdr:colOff>
      <xdr:row>68</xdr:row>
      <xdr:rowOff>66675</xdr:rowOff>
    </xdr:to>
    <xdr:pic>
      <xdr:nvPicPr>
        <xdr:cNvPr id="24" name="Picture 71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62650" y="11877675"/>
          <a:ext cx="494347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69</xdr:row>
      <xdr:rowOff>47625</xdr:rowOff>
    </xdr:from>
    <xdr:to>
      <xdr:col>16</xdr:col>
      <xdr:colOff>323850</xdr:colOff>
      <xdr:row>82</xdr:row>
      <xdr:rowOff>9525</xdr:rowOff>
    </xdr:to>
    <xdr:pic>
      <xdr:nvPicPr>
        <xdr:cNvPr id="25" name="Picture 71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14144625"/>
          <a:ext cx="503872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104</xdr:row>
      <xdr:rowOff>66675</xdr:rowOff>
    </xdr:from>
    <xdr:to>
      <xdr:col>16</xdr:col>
      <xdr:colOff>409575</xdr:colOff>
      <xdr:row>115</xdr:row>
      <xdr:rowOff>104775</xdr:rowOff>
    </xdr:to>
    <xdr:pic>
      <xdr:nvPicPr>
        <xdr:cNvPr id="26" name="Picture 7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0250" y="19716750"/>
          <a:ext cx="52578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128</xdr:row>
      <xdr:rowOff>123825</xdr:rowOff>
    </xdr:from>
    <xdr:to>
      <xdr:col>16</xdr:col>
      <xdr:colOff>419100</xdr:colOff>
      <xdr:row>139</xdr:row>
      <xdr:rowOff>123825</xdr:rowOff>
    </xdr:to>
    <xdr:pic>
      <xdr:nvPicPr>
        <xdr:cNvPr id="27" name="Picture 74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819775" y="23974425"/>
          <a:ext cx="52578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122</xdr:row>
      <xdr:rowOff>219075</xdr:rowOff>
    </xdr:from>
    <xdr:to>
      <xdr:col>14</xdr:col>
      <xdr:colOff>571500</xdr:colOff>
      <xdr:row>126</xdr:row>
      <xdr:rowOff>66675</xdr:rowOff>
    </xdr:to>
    <xdr:pic>
      <xdr:nvPicPr>
        <xdr:cNvPr id="28" name="Picture 98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267575" y="22755225"/>
          <a:ext cx="2667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9525</xdr:colOff>
      <xdr:row>403</xdr:row>
      <xdr:rowOff>47625</xdr:rowOff>
    </xdr:from>
    <xdr:to>
      <xdr:col>4</xdr:col>
      <xdr:colOff>476250</xdr:colOff>
      <xdr:row>405</xdr:row>
      <xdr:rowOff>38100</xdr:rowOff>
    </xdr:to>
    <xdr:sp>
      <xdr:nvSpPr>
        <xdr:cNvPr id="29" name="TextovéPole 32"/>
        <xdr:cNvSpPr txBox="1">
          <a:spLocks noChangeArrowheads="1"/>
        </xdr:cNvSpPr>
      </xdr:nvSpPr>
      <xdr:spPr>
        <a:xfrm>
          <a:off x="2085975" y="73266300"/>
          <a:ext cx="10953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Support</a:t>
          </a:r>
        </a:p>
      </xdr:txBody>
    </xdr:sp>
    <xdr:clientData/>
  </xdr:twoCellAnchor>
  <xdr:twoCellAnchor>
    <xdr:from>
      <xdr:col>2</xdr:col>
      <xdr:colOff>419100</xdr:colOff>
      <xdr:row>402</xdr:row>
      <xdr:rowOff>76200</xdr:rowOff>
    </xdr:from>
    <xdr:to>
      <xdr:col>3</xdr:col>
      <xdr:colOff>95250</xdr:colOff>
      <xdr:row>403</xdr:row>
      <xdr:rowOff>123825</xdr:rowOff>
    </xdr:to>
    <xdr:sp>
      <xdr:nvSpPr>
        <xdr:cNvPr id="30" name="Přímá spojovací šipka 36"/>
        <xdr:cNvSpPr>
          <a:spLocks/>
        </xdr:cNvSpPr>
      </xdr:nvSpPr>
      <xdr:spPr>
        <a:xfrm flipH="1" flipV="1">
          <a:off x="1781175" y="73113900"/>
          <a:ext cx="390525" cy="22860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410</xdr:row>
      <xdr:rowOff>142875</xdr:rowOff>
    </xdr:from>
    <xdr:to>
      <xdr:col>4</xdr:col>
      <xdr:colOff>28575</xdr:colOff>
      <xdr:row>412</xdr:row>
      <xdr:rowOff>133350</xdr:rowOff>
    </xdr:to>
    <xdr:sp>
      <xdr:nvSpPr>
        <xdr:cNvPr id="31" name="TextovéPole 37"/>
        <xdr:cNvSpPr txBox="1">
          <a:spLocks noChangeArrowheads="1"/>
        </xdr:cNvSpPr>
      </xdr:nvSpPr>
      <xdr:spPr>
        <a:xfrm>
          <a:off x="1628775" y="74514075"/>
          <a:ext cx="11049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Support</a:t>
          </a:r>
        </a:p>
      </xdr:txBody>
    </xdr:sp>
    <xdr:clientData/>
  </xdr:twoCellAnchor>
  <xdr:twoCellAnchor>
    <xdr:from>
      <xdr:col>1</xdr:col>
      <xdr:colOff>704850</xdr:colOff>
      <xdr:row>409</xdr:row>
      <xdr:rowOff>104775</xdr:rowOff>
    </xdr:from>
    <xdr:to>
      <xdr:col>2</xdr:col>
      <xdr:colOff>333375</xdr:colOff>
      <xdr:row>410</xdr:row>
      <xdr:rowOff>152400</xdr:rowOff>
    </xdr:to>
    <xdr:sp>
      <xdr:nvSpPr>
        <xdr:cNvPr id="32" name="Přímá spojovací šipka 38"/>
        <xdr:cNvSpPr>
          <a:spLocks/>
        </xdr:cNvSpPr>
      </xdr:nvSpPr>
      <xdr:spPr>
        <a:xfrm flipH="1" flipV="1">
          <a:off x="1314450" y="74314050"/>
          <a:ext cx="381000" cy="2095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409</xdr:row>
      <xdr:rowOff>19050</xdr:rowOff>
    </xdr:from>
    <xdr:to>
      <xdr:col>5</xdr:col>
      <xdr:colOff>314325</xdr:colOff>
      <xdr:row>411</xdr:row>
      <xdr:rowOff>19050</xdr:rowOff>
    </xdr:to>
    <xdr:sp>
      <xdr:nvSpPr>
        <xdr:cNvPr id="33" name="TextovéPole 39"/>
        <xdr:cNvSpPr txBox="1">
          <a:spLocks noChangeArrowheads="1"/>
        </xdr:cNvSpPr>
      </xdr:nvSpPr>
      <xdr:spPr>
        <a:xfrm>
          <a:off x="2533650" y="74228325"/>
          <a:ext cx="10953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Support</a:t>
          </a:r>
        </a:p>
      </xdr:txBody>
    </xdr:sp>
    <xdr:clientData/>
  </xdr:twoCellAnchor>
  <xdr:twoCellAnchor>
    <xdr:from>
      <xdr:col>3</xdr:col>
      <xdr:colOff>152400</xdr:colOff>
      <xdr:row>408</xdr:row>
      <xdr:rowOff>47625</xdr:rowOff>
    </xdr:from>
    <xdr:to>
      <xdr:col>3</xdr:col>
      <xdr:colOff>533400</xdr:colOff>
      <xdr:row>409</xdr:row>
      <xdr:rowOff>95250</xdr:rowOff>
    </xdr:to>
    <xdr:sp>
      <xdr:nvSpPr>
        <xdr:cNvPr id="34" name="Přímá spojovací šipka 40"/>
        <xdr:cNvSpPr>
          <a:spLocks/>
        </xdr:cNvSpPr>
      </xdr:nvSpPr>
      <xdr:spPr>
        <a:xfrm flipH="1" flipV="1">
          <a:off x="2228850" y="74094975"/>
          <a:ext cx="381000" cy="2095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180975</xdr:colOff>
      <xdr:row>123</xdr:row>
      <xdr:rowOff>9525</xdr:rowOff>
    </xdr:from>
    <xdr:to>
      <xdr:col>1</xdr:col>
      <xdr:colOff>609600</xdr:colOff>
      <xdr:row>124</xdr:row>
      <xdr:rowOff>28575</xdr:rowOff>
    </xdr:to>
    <xdr:pic>
      <xdr:nvPicPr>
        <xdr:cNvPr id="35" name="Picture 8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80975" y="22774275"/>
          <a:ext cx="10382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10</xdr:col>
      <xdr:colOff>428625</xdr:colOff>
      <xdr:row>164</xdr:row>
      <xdr:rowOff>95250</xdr:rowOff>
    </xdr:from>
    <xdr:to>
      <xdr:col>14</xdr:col>
      <xdr:colOff>419100</xdr:colOff>
      <xdr:row>172</xdr:row>
      <xdr:rowOff>142875</xdr:rowOff>
    </xdr:to>
    <xdr:pic>
      <xdr:nvPicPr>
        <xdr:cNvPr id="36" name="Picture 246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896100" y="30222825"/>
          <a:ext cx="288607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</xdr:colOff>
      <xdr:row>263</xdr:row>
      <xdr:rowOff>85725</xdr:rowOff>
    </xdr:from>
    <xdr:to>
      <xdr:col>14</xdr:col>
      <xdr:colOff>571500</xdr:colOff>
      <xdr:row>281</xdr:row>
      <xdr:rowOff>19050</xdr:rowOff>
    </xdr:to>
    <xdr:pic>
      <xdr:nvPicPr>
        <xdr:cNvPr id="37" name="Picture 250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077075" y="49129950"/>
          <a:ext cx="28575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vmlDrawing" Target="../drawings/vmlDrawing1.vml" /><Relationship Id="rId36" Type="http://schemas.openxmlformats.org/officeDocument/2006/relationships/drawing" Target="../drawings/drawing1.xml" /><Relationship Id="rId3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444"/>
  <sheetViews>
    <sheetView showGridLines="0" tabSelected="1" zoomScale="115" zoomScaleNormal="115" zoomScalePageLayoutView="0" workbookViewId="0" topLeftCell="A1">
      <selection activeCell="B10" sqref="B10"/>
    </sheetView>
  </sheetViews>
  <sheetFormatPr defaultColWidth="9.140625" defaultRowHeight="12.75"/>
  <cols>
    <col min="1" max="1" width="9.140625" style="224" customWidth="1"/>
    <col min="2" max="2" width="11.28125" style="224" bestFit="1" customWidth="1"/>
    <col min="3" max="3" width="10.7109375" style="224" customWidth="1"/>
    <col min="4" max="4" width="9.421875" style="224" customWidth="1"/>
    <col min="5" max="5" width="9.140625" style="224" customWidth="1"/>
    <col min="6" max="6" width="9.57421875" style="224" bestFit="1" customWidth="1"/>
    <col min="7" max="9" width="9.140625" style="224" customWidth="1"/>
    <col min="10" max="10" width="10.28125" style="224" customWidth="1"/>
    <col min="11" max="11" width="9.00390625" style="224" customWidth="1"/>
    <col min="12" max="12" width="12.140625" style="224" customWidth="1"/>
    <col min="13" max="13" width="11.7109375" style="224" customWidth="1"/>
    <col min="14" max="14" width="10.57421875" style="224" customWidth="1"/>
    <col min="15" max="15" width="10.28125" style="224" customWidth="1"/>
    <col min="16" max="16" width="9.140625" style="224" customWidth="1"/>
    <col min="17" max="17" width="11.00390625" style="224" customWidth="1"/>
    <col min="18" max="20" width="9.57421875" style="224" hidden="1" customWidth="1"/>
    <col min="21" max="21" width="11.28125" style="224" hidden="1" customWidth="1"/>
    <col min="22" max="28" width="9.57421875" style="224" hidden="1" customWidth="1"/>
    <col min="29" max="33" width="0" style="224" hidden="1" customWidth="1"/>
    <col min="34" max="16384" width="9.140625" style="224" customWidth="1"/>
  </cols>
  <sheetData>
    <row r="1" spans="1:17" ht="12.75" customHeight="1">
      <c r="A1" s="222" t="s">
        <v>458</v>
      </c>
      <c r="B1" s="222"/>
      <c r="C1" s="222"/>
      <c r="D1" s="222"/>
      <c r="E1" s="222"/>
      <c r="F1" s="222"/>
      <c r="G1" s="222"/>
      <c r="H1" s="222"/>
      <c r="I1" s="222"/>
      <c r="J1" s="223" t="s">
        <v>459</v>
      </c>
      <c r="K1" s="223"/>
      <c r="L1" s="223"/>
      <c r="M1" s="223"/>
      <c r="N1" s="223"/>
      <c r="O1" s="223"/>
      <c r="P1" s="223"/>
      <c r="Q1" s="223"/>
    </row>
    <row r="2" spans="1:17" ht="12.75" customHeight="1">
      <c r="A2" s="222"/>
      <c r="B2" s="222"/>
      <c r="C2" s="222"/>
      <c r="D2" s="222"/>
      <c r="E2" s="222"/>
      <c r="F2" s="222"/>
      <c r="G2" s="222"/>
      <c r="H2" s="222"/>
      <c r="I2" s="222"/>
      <c r="J2" s="223"/>
      <c r="K2" s="223"/>
      <c r="L2" s="223"/>
      <c r="M2" s="223"/>
      <c r="N2" s="223"/>
      <c r="O2" s="223"/>
      <c r="P2" s="223"/>
      <c r="Q2" s="223"/>
    </row>
    <row r="3" spans="1:17" ht="12.75" customHeight="1">
      <c r="A3" s="222"/>
      <c r="B3" s="222"/>
      <c r="C3" s="222"/>
      <c r="D3" s="222"/>
      <c r="E3" s="222"/>
      <c r="F3" s="222"/>
      <c r="G3" s="222"/>
      <c r="H3" s="222"/>
      <c r="I3" s="222"/>
      <c r="J3" s="225" t="s">
        <v>460</v>
      </c>
      <c r="K3" s="225"/>
      <c r="L3" s="225"/>
      <c r="M3" s="225"/>
      <c r="N3" s="225"/>
      <c r="O3" s="225"/>
      <c r="P3" s="225"/>
      <c r="Q3" s="225"/>
    </row>
    <row r="4" spans="1:23" ht="18.75">
      <c r="A4" s="222"/>
      <c r="B4" s="222"/>
      <c r="C4" s="222"/>
      <c r="D4" s="222"/>
      <c r="E4" s="222"/>
      <c r="F4" s="222"/>
      <c r="G4" s="222"/>
      <c r="H4" s="222"/>
      <c r="I4" s="222"/>
      <c r="J4" s="225"/>
      <c r="K4" s="225"/>
      <c r="L4" s="225"/>
      <c r="M4" s="225"/>
      <c r="N4" s="225"/>
      <c r="O4" s="225"/>
      <c r="P4" s="225"/>
      <c r="Q4" s="225"/>
      <c r="R4" s="226"/>
      <c r="U4" s="227" t="s">
        <v>405</v>
      </c>
      <c r="V4" s="224">
        <v>1.5</v>
      </c>
      <c r="W4" s="224" t="b">
        <f>ISERROR(W5)</f>
        <v>0</v>
      </c>
    </row>
    <row r="5" spans="10:23" ht="12.75">
      <c r="J5" s="225"/>
      <c r="K5" s="225"/>
      <c r="L5" s="225"/>
      <c r="M5" s="225"/>
      <c r="N5" s="225"/>
      <c r="O5" s="225"/>
      <c r="P5" s="225"/>
      <c r="Q5" s="225"/>
      <c r="U5" s="227" t="s">
        <v>406</v>
      </c>
      <c r="V5" s="224">
        <v>2.5</v>
      </c>
      <c r="W5" s="224">
        <f>LOOKUP(A41,U16:U19,V16:V19)</f>
        <v>1.2</v>
      </c>
    </row>
    <row r="6" spans="1:22" ht="20.25">
      <c r="A6" s="228" t="s">
        <v>317</v>
      </c>
      <c r="J6" s="229" t="s">
        <v>461</v>
      </c>
      <c r="K6" s="230"/>
      <c r="L6" s="230"/>
      <c r="M6" s="230"/>
      <c r="N6" s="230"/>
      <c r="O6" s="230"/>
      <c r="P6" s="230"/>
      <c r="Q6" s="230"/>
      <c r="U6" s="227" t="s">
        <v>407</v>
      </c>
      <c r="V6" s="224">
        <v>3</v>
      </c>
    </row>
    <row r="7" spans="1:22" ht="18">
      <c r="A7" s="231" t="s">
        <v>318</v>
      </c>
      <c r="J7" s="229" t="s">
        <v>462</v>
      </c>
      <c r="K7" s="230"/>
      <c r="L7" s="230"/>
      <c r="M7" s="230"/>
      <c r="N7" s="230"/>
      <c r="O7" s="230"/>
      <c r="P7" s="230"/>
      <c r="Q7" s="230"/>
      <c r="U7" s="227" t="s">
        <v>408</v>
      </c>
      <c r="V7" s="224">
        <v>4</v>
      </c>
    </row>
    <row r="8" spans="10:22" ht="5.25" customHeight="1" thickBot="1">
      <c r="J8" s="230"/>
      <c r="K8" s="230"/>
      <c r="L8" s="230"/>
      <c r="M8" s="230"/>
      <c r="N8" s="230"/>
      <c r="O8" s="230"/>
      <c r="P8" s="230"/>
      <c r="Q8" s="230"/>
      <c r="U8" s="227" t="s">
        <v>409</v>
      </c>
      <c r="V8" s="224">
        <v>5</v>
      </c>
    </row>
    <row r="9" spans="1:22" ht="20.25">
      <c r="A9" s="232" t="s">
        <v>377</v>
      </c>
      <c r="J9" s="233" t="s">
        <v>463</v>
      </c>
      <c r="K9" s="234"/>
      <c r="L9" s="234"/>
      <c r="M9" s="234"/>
      <c r="N9" s="234"/>
      <c r="O9" s="234"/>
      <c r="P9" s="234"/>
      <c r="Q9" s="235"/>
      <c r="U9" s="227" t="s">
        <v>410</v>
      </c>
      <c r="V9" s="224">
        <v>5</v>
      </c>
    </row>
    <row r="10" spans="1:22" ht="16.5" customHeight="1">
      <c r="A10" s="236" t="s">
        <v>284</v>
      </c>
      <c r="B10" s="178"/>
      <c r="C10" s="224" t="s">
        <v>158</v>
      </c>
      <c r="D10" s="237">
        <f>IF(B10&gt;1000,"Špatně zadaná hodnota","")</f>
      </c>
      <c r="J10" s="238" t="s">
        <v>464</v>
      </c>
      <c r="K10" s="239"/>
      <c r="L10" s="239"/>
      <c r="M10" s="239"/>
      <c r="N10" s="239"/>
      <c r="O10" s="239"/>
      <c r="P10" s="239"/>
      <c r="Q10" s="240"/>
      <c r="U10" s="227" t="s">
        <v>411</v>
      </c>
      <c r="V10" s="224">
        <v>5</v>
      </c>
    </row>
    <row r="11" spans="1:22" ht="12.75">
      <c r="A11" s="236" t="s">
        <v>285</v>
      </c>
      <c r="B11" s="178">
        <v>5.5</v>
      </c>
      <c r="C11" s="224" t="s">
        <v>158</v>
      </c>
      <c r="D11" s="224">
        <f>IF(B11&gt;1000,"Špatně zadaná hodnota","")</f>
      </c>
      <c r="J11" s="241"/>
      <c r="K11" s="242" t="s">
        <v>466</v>
      </c>
      <c r="L11" s="243" t="str">
        <f>IF(H84*-1&lt;C117,"OK","Not satisfy!")</f>
        <v>OK</v>
      </c>
      <c r="M11" s="239"/>
      <c r="N11" s="242" t="s">
        <v>492</v>
      </c>
      <c r="O11" s="244" t="str">
        <f>IF(S347=1,"Standard lifting","Lifting with a lever")</f>
        <v>Standard lifting</v>
      </c>
      <c r="P11" s="239"/>
      <c r="Q11" s="240"/>
      <c r="U11" s="227" t="s">
        <v>412</v>
      </c>
      <c r="V11" s="224">
        <v>5</v>
      </c>
    </row>
    <row r="12" spans="10:22" ht="12.75">
      <c r="J12" s="241"/>
      <c r="K12" s="242" t="s">
        <v>467</v>
      </c>
      <c r="L12" s="243" t="str">
        <f>IF(H85&lt;C142,"OK","Not satisfy!")</f>
        <v>OK</v>
      </c>
      <c r="M12" s="239"/>
      <c r="N12" s="242" t="s">
        <v>493</v>
      </c>
      <c r="O12" s="244" t="str">
        <f>IF(S392=1,"No mounting support",IF(S392=3,"One mounting support","Two mounting supports"))</f>
        <v>One mounting support</v>
      </c>
      <c r="P12" s="239"/>
      <c r="Q12" s="240"/>
      <c r="U12" s="227" t="s">
        <v>413</v>
      </c>
      <c r="V12" s="224">
        <v>5</v>
      </c>
    </row>
    <row r="13" spans="10:22" ht="12.75">
      <c r="J13" s="241"/>
      <c r="K13" s="242" t="s">
        <v>468</v>
      </c>
      <c r="L13" s="243" t="str">
        <f>IF(H85&lt;C142,"OK","Not satisfy!")</f>
        <v>OK</v>
      </c>
      <c r="M13" s="239"/>
      <c r="N13" s="239"/>
      <c r="O13" s="239"/>
      <c r="P13" s="239"/>
      <c r="Q13" s="240"/>
      <c r="U13" s="227" t="s">
        <v>414</v>
      </c>
      <c r="V13" s="224">
        <v>7.5</v>
      </c>
    </row>
    <row r="14" spans="10:22" ht="12.75">
      <c r="J14" s="241"/>
      <c r="K14" s="239"/>
      <c r="L14" s="239"/>
      <c r="M14" s="239"/>
      <c r="N14" s="239"/>
      <c r="O14" s="239"/>
      <c r="P14" s="239"/>
      <c r="Q14" s="240"/>
      <c r="U14" s="227" t="s">
        <v>415</v>
      </c>
      <c r="V14" s="224">
        <v>2.5</v>
      </c>
    </row>
    <row r="15" spans="10:22" ht="12.75">
      <c r="J15" s="241"/>
      <c r="K15" s="239"/>
      <c r="L15" s="239"/>
      <c r="M15" s="239"/>
      <c r="N15" s="239"/>
      <c r="O15" s="239"/>
      <c r="P15" s="239"/>
      <c r="Q15" s="240"/>
      <c r="U15" s="227" t="s">
        <v>416</v>
      </c>
      <c r="V15" s="224">
        <v>0.75</v>
      </c>
    </row>
    <row r="16" spans="10:22" ht="58.5" customHeight="1">
      <c r="J16" s="238" t="s">
        <v>465</v>
      </c>
      <c r="K16" s="239"/>
      <c r="L16" s="239"/>
      <c r="M16" s="239"/>
      <c r="N16" s="239"/>
      <c r="O16" s="239"/>
      <c r="P16" s="239"/>
      <c r="Q16" s="240"/>
      <c r="V16" s="224">
        <v>0</v>
      </c>
    </row>
    <row r="17" spans="10:22" ht="12.75">
      <c r="J17" s="241"/>
      <c r="K17" s="239"/>
      <c r="L17" s="242" t="s">
        <v>469</v>
      </c>
      <c r="M17" s="243" t="str">
        <f>IF(F179&lt;C216,"OK","Not satisfy!")</f>
        <v>OK</v>
      </c>
      <c r="N17" s="245" t="s">
        <v>471</v>
      </c>
      <c r="O17" s="246"/>
      <c r="P17" s="247">
        <f>T288</f>
        <v>3</v>
      </c>
      <c r="Q17" s="248" t="str">
        <f>IF(D314&lt;T317,"OK","Not satisfy!")</f>
        <v>OK</v>
      </c>
      <c r="U17" s="227" t="s">
        <v>417</v>
      </c>
      <c r="V17" s="224">
        <v>0.5</v>
      </c>
    </row>
    <row r="18" spans="10:22" ht="12.75">
      <c r="J18" s="241"/>
      <c r="K18" s="239"/>
      <c r="L18" s="242" t="s">
        <v>366</v>
      </c>
      <c r="M18" s="243" t="str">
        <f>IF((S230*F70*C214/C230*1.5/1000)&gt;F180,"OK","Not satisfy!")</f>
        <v>OK</v>
      </c>
      <c r="N18" s="244" t="str">
        <f>IF(S443=3,"No mounting support needed.","Mounting support needed.")</f>
        <v>No mounting support needed.</v>
      </c>
      <c r="O18" s="239"/>
      <c r="P18" s="239"/>
      <c r="Q18" s="240"/>
      <c r="U18" s="227" t="s">
        <v>418</v>
      </c>
      <c r="V18" s="224">
        <v>0.8</v>
      </c>
    </row>
    <row r="19" spans="1:22" ht="12.75">
      <c r="A19" s="232" t="s">
        <v>319</v>
      </c>
      <c r="J19" s="241"/>
      <c r="K19" s="239"/>
      <c r="L19" s="242" t="s">
        <v>470</v>
      </c>
      <c r="M19" s="243" t="str">
        <f>IF(C251&lt;S249,"OK","Not satisfy!")</f>
        <v>OK</v>
      </c>
      <c r="N19" s="239"/>
      <c r="O19" s="239"/>
      <c r="P19" s="239"/>
      <c r="Q19" s="240"/>
      <c r="U19" s="227" t="s">
        <v>419</v>
      </c>
      <c r="V19" s="224">
        <v>1.2</v>
      </c>
    </row>
    <row r="20" spans="1:17" ht="16.5" thickBot="1">
      <c r="A20" s="236" t="s">
        <v>286</v>
      </c>
      <c r="B20" s="178">
        <v>350</v>
      </c>
      <c r="C20" s="224" t="s">
        <v>156</v>
      </c>
      <c r="D20" s="237">
        <f>IF(B20&lt;10,"Chyba","")</f>
      </c>
      <c r="J20" s="249"/>
      <c r="K20" s="250"/>
      <c r="L20" s="250"/>
      <c r="M20" s="250"/>
      <c r="N20" s="250"/>
      <c r="O20" s="250"/>
      <c r="P20" s="250"/>
      <c r="Q20" s="251"/>
    </row>
    <row r="21" spans="1:27" ht="12.75" customHeight="1">
      <c r="A21" s="236" t="s">
        <v>287</v>
      </c>
      <c r="B21" s="178">
        <v>250</v>
      </c>
      <c r="C21" s="224" t="s">
        <v>156</v>
      </c>
      <c r="D21" s="237">
        <f>IF(B21&lt;10,"Chyba","")</f>
      </c>
      <c r="J21" s="230"/>
      <c r="K21" s="230"/>
      <c r="L21" s="230"/>
      <c r="M21" s="230"/>
      <c r="N21" s="230"/>
      <c r="O21" s="230"/>
      <c r="P21" s="230"/>
      <c r="Q21" s="230"/>
      <c r="S21" s="252" t="s">
        <v>420</v>
      </c>
      <c r="T21" s="224">
        <v>0</v>
      </c>
      <c r="U21" s="224" t="e">
        <f>IF($V$44&gt;=T21,INDEX(Tables!$B$1:$B$116,$U$44+T21),"")</f>
        <v>#N/A</v>
      </c>
      <c r="V21" s="224">
        <f aca="true" t="shared" si="0" ref="V21:V41">COUNTIF($U$21:$U$41,U21)</f>
        <v>21</v>
      </c>
      <c r="W21" s="224" t="e">
        <f>INDEX($U$21:$U$41,T21+V21)</f>
        <v>#N/A</v>
      </c>
      <c r="X21" s="224" t="e">
        <f aca="true" t="shared" si="1" ref="X21:X41">INDEX($V$21:$V$41,MATCH(W21,$U$21:$U$41,0))</f>
        <v>#N/A</v>
      </c>
      <c r="AA21" s="224">
        <f>IF(T21&gt;=$U$46,"",INDEX(Tables!$C$1:$C$116,$T$46+T21))</f>
      </c>
    </row>
    <row r="22" spans="4:27" ht="5.25" customHeight="1">
      <c r="D22" s="237"/>
      <c r="J22" s="230"/>
      <c r="K22" s="230"/>
      <c r="L22" s="230"/>
      <c r="M22" s="230"/>
      <c r="N22" s="230"/>
      <c r="O22" s="230"/>
      <c r="P22" s="230"/>
      <c r="Q22" s="230"/>
      <c r="S22" s="252" t="s">
        <v>421</v>
      </c>
      <c r="T22" s="224">
        <v>1</v>
      </c>
      <c r="U22" s="224" t="e">
        <f>IF($V$44&gt;=T22,INDEX(Tables!$B$1:$B$116,$U$44+T22),"")</f>
        <v>#N/A</v>
      </c>
      <c r="V22" s="224">
        <f t="shared" si="0"/>
        <v>21</v>
      </c>
      <c r="W22" s="224" t="e">
        <f>IF(SUM($X$21:X21)&gt;=$W$43,"",INDEX($U$21:$U$41,Y22))</f>
        <v>#N/A</v>
      </c>
      <c r="X22" s="224" t="e">
        <f t="shared" si="1"/>
        <v>#N/A</v>
      </c>
      <c r="Y22" s="224" t="e">
        <f>SUM($X$21)+1</f>
        <v>#N/A</v>
      </c>
      <c r="AA22" s="224">
        <f>IF(T22&gt;=$U$46,"",INDEX(Tables!$C$1:$C$116,$T$46+T22))</f>
      </c>
    </row>
    <row r="23" spans="1:27" ht="12.75" customHeight="1">
      <c r="A23" s="232" t="s">
        <v>320</v>
      </c>
      <c r="D23" s="237"/>
      <c r="J23" s="230"/>
      <c r="K23" s="230"/>
      <c r="L23" s="230"/>
      <c r="M23" s="230"/>
      <c r="N23" s="230"/>
      <c r="O23" s="230"/>
      <c r="P23" s="230"/>
      <c r="Q23" s="230"/>
      <c r="S23" s="252" t="s">
        <v>422</v>
      </c>
      <c r="T23" s="224">
        <v>2</v>
      </c>
      <c r="U23" s="224" t="e">
        <f>IF($V$44&gt;=T23,INDEX(Tables!$B$1:$B$116,$U$44+T23),"")</f>
        <v>#N/A</v>
      </c>
      <c r="V23" s="224">
        <f t="shared" si="0"/>
        <v>21</v>
      </c>
      <c r="W23" s="224" t="e">
        <f>IF(SUM($X$21:X22)&gt;=$W$43,"",INDEX($U$21:$U$41,Y23))</f>
        <v>#N/A</v>
      </c>
      <c r="X23" s="224" t="e">
        <f t="shared" si="1"/>
        <v>#N/A</v>
      </c>
      <c r="Y23" s="224" t="e">
        <f>SUM($X$21:X22)+1</f>
        <v>#N/A</v>
      </c>
      <c r="AA23" s="224">
        <f>IF(T23&gt;=$U$46,"",INDEX(Tables!$C$1:$C$116,$T$46+T23))</f>
      </c>
    </row>
    <row r="24" spans="1:27" ht="12.75" customHeight="1">
      <c r="A24" s="236" t="s">
        <v>288</v>
      </c>
      <c r="B24" s="178">
        <v>50</v>
      </c>
      <c r="C24" s="224" t="s">
        <v>156</v>
      </c>
      <c r="D24" s="237">
        <f>IF(B24&lt;10,"Chyba","")</f>
      </c>
      <c r="J24" s="230"/>
      <c r="K24" s="230"/>
      <c r="L24" s="230"/>
      <c r="M24" s="230"/>
      <c r="N24" s="230"/>
      <c r="O24" s="230"/>
      <c r="P24" s="230"/>
      <c r="Q24" s="230"/>
      <c r="S24" s="252" t="s">
        <v>423</v>
      </c>
      <c r="T24" s="224">
        <v>3</v>
      </c>
      <c r="U24" s="224" t="e">
        <f>IF($V$44&gt;=T24,INDEX(Tables!$B$1:$B$116,$U$44+T24),"")</f>
        <v>#N/A</v>
      </c>
      <c r="V24" s="224">
        <f t="shared" si="0"/>
        <v>21</v>
      </c>
      <c r="W24" s="224" t="e">
        <f>IF(SUM($X$21:X23)&gt;=$W$43,"",INDEX($U$21:$U$41,Y24))</f>
        <v>#N/A</v>
      </c>
      <c r="X24" s="224" t="e">
        <f t="shared" si="1"/>
        <v>#N/A</v>
      </c>
      <c r="Y24" s="224" t="e">
        <f>SUM($X$21:X23)+1</f>
        <v>#N/A</v>
      </c>
      <c r="AA24" s="224">
        <f>IF(T24&gt;=$U$46,"",INDEX(Tables!$C$1:$C$116,$T$46+T24))</f>
      </c>
    </row>
    <row r="25" spans="4:27" ht="5.25" customHeight="1">
      <c r="D25" s="237"/>
      <c r="J25" s="230"/>
      <c r="K25" s="230"/>
      <c r="L25" s="230"/>
      <c r="M25" s="230"/>
      <c r="N25" s="230"/>
      <c r="O25" s="230"/>
      <c r="P25" s="230"/>
      <c r="Q25" s="230"/>
      <c r="S25" s="252" t="s">
        <v>424</v>
      </c>
      <c r="T25" s="224">
        <v>4</v>
      </c>
      <c r="U25" s="224" t="e">
        <f>IF($V$44&gt;=T25,INDEX(Tables!$B$1:$B$116,$U$44+T25),"")</f>
        <v>#N/A</v>
      </c>
      <c r="V25" s="224">
        <f t="shared" si="0"/>
        <v>21</v>
      </c>
      <c r="W25" s="224" t="e">
        <f>IF(SUM($X$21:X24)&gt;=$W$43,"",INDEX($U$21:$U$41,Y25))</f>
        <v>#N/A</v>
      </c>
      <c r="X25" s="224" t="e">
        <f t="shared" si="1"/>
        <v>#N/A</v>
      </c>
      <c r="Y25" s="224" t="e">
        <f>SUM($X$21:X24)+1</f>
        <v>#N/A</v>
      </c>
      <c r="AA25" s="224">
        <f>IF(T25&gt;=$U$46,"",INDEX(Tables!$C$1:$C$116,$T$46+T25))</f>
      </c>
    </row>
    <row r="26" spans="1:27" ht="12.75" customHeight="1">
      <c r="A26" s="232" t="s">
        <v>321</v>
      </c>
      <c r="D26" s="237"/>
      <c r="J26" s="230"/>
      <c r="K26" s="230"/>
      <c r="L26" s="230"/>
      <c r="M26" s="230"/>
      <c r="N26" s="230"/>
      <c r="O26" s="230"/>
      <c r="P26" s="230"/>
      <c r="Q26" s="230"/>
      <c r="S26" s="252" t="s">
        <v>425</v>
      </c>
      <c r="T26" s="224">
        <v>5</v>
      </c>
      <c r="U26" s="224" t="e">
        <f>IF($V$44&gt;=T26,INDEX(Tables!$B$1:$B$116,$U$44+T26),"")</f>
        <v>#N/A</v>
      </c>
      <c r="V26" s="224">
        <f t="shared" si="0"/>
        <v>21</v>
      </c>
      <c r="W26" s="224" t="e">
        <f>IF(SUM($X$21:X25)&gt;=$W$43,"",INDEX($U$21:$U$41,Y26))</f>
        <v>#N/A</v>
      </c>
      <c r="X26" s="224" t="e">
        <f t="shared" si="1"/>
        <v>#N/A</v>
      </c>
      <c r="Y26" s="224" t="e">
        <f>SUM($X$21:X25)+1</f>
        <v>#N/A</v>
      </c>
      <c r="AA26" s="224">
        <f>IF(T26&gt;=$U$46,"",INDEX(Tables!$C$1:$C$116,$T$46+T26))</f>
      </c>
    </row>
    <row r="27" spans="1:27" ht="12.75" customHeight="1">
      <c r="A27" s="236" t="s">
        <v>289</v>
      </c>
      <c r="B27" s="178">
        <v>150</v>
      </c>
      <c r="C27" s="224" t="s">
        <v>156</v>
      </c>
      <c r="D27" s="237">
        <f>IF(B27&lt;10,"Chyba","")</f>
      </c>
      <c r="J27" s="230"/>
      <c r="K27" s="230"/>
      <c r="L27" s="230"/>
      <c r="M27" s="230"/>
      <c r="N27" s="230"/>
      <c r="O27" s="230"/>
      <c r="P27" s="230"/>
      <c r="Q27" s="230"/>
      <c r="S27" s="252" t="s">
        <v>426</v>
      </c>
      <c r="T27" s="224">
        <v>6</v>
      </c>
      <c r="U27" s="224" t="e">
        <f>IF($V$44&gt;=T27,INDEX(Tables!$B$1:$B$116,$U$44+T27),"")</f>
        <v>#N/A</v>
      </c>
      <c r="V27" s="224">
        <f t="shared" si="0"/>
        <v>21</v>
      </c>
      <c r="W27" s="224" t="e">
        <f>IF(SUM($X$21:X26)&gt;=$W$43,"",INDEX($U$21:$U$41,Y27))</f>
        <v>#N/A</v>
      </c>
      <c r="X27" s="224" t="e">
        <f t="shared" si="1"/>
        <v>#N/A</v>
      </c>
      <c r="Y27" s="224" t="e">
        <f>SUM($X$21:X26)+1</f>
        <v>#N/A</v>
      </c>
      <c r="AA27" s="224">
        <f>IF(T27&gt;=$U$46,"",INDEX(Tables!$C$1:$C$116,$T$46+T27))</f>
      </c>
    </row>
    <row r="28" spans="4:27" ht="12.75" customHeight="1">
      <c r="D28" s="237"/>
      <c r="J28" s="230"/>
      <c r="K28" s="230"/>
      <c r="L28" s="230"/>
      <c r="M28" s="230"/>
      <c r="N28" s="230"/>
      <c r="O28" s="230"/>
      <c r="P28" s="230"/>
      <c r="Q28" s="230"/>
      <c r="S28" s="252" t="s">
        <v>427</v>
      </c>
      <c r="T28" s="224">
        <v>7</v>
      </c>
      <c r="U28" s="224" t="e">
        <f>IF($V$44&gt;=T28,INDEX(Tables!$B$1:$B$116,$U$44+T28),"")</f>
        <v>#N/A</v>
      </c>
      <c r="V28" s="224">
        <f t="shared" si="0"/>
        <v>21</v>
      </c>
      <c r="W28" s="224" t="e">
        <f>IF(SUM($X$21:X27)&gt;=$W$43,"",INDEX($U$21:$U$41,Y28))</f>
        <v>#N/A</v>
      </c>
      <c r="X28" s="224" t="e">
        <f t="shared" si="1"/>
        <v>#N/A</v>
      </c>
      <c r="Y28" s="224" t="e">
        <f>SUM($X$21:X27)+1</f>
        <v>#N/A</v>
      </c>
      <c r="AA28" s="224">
        <f>IF(T28&gt;=$U$46,"",INDEX(Tables!$C$1:$C$116,$T$46+T28))</f>
      </c>
    </row>
    <row r="29" spans="10:27" ht="12.75" customHeight="1">
      <c r="J29" s="230"/>
      <c r="K29" s="230"/>
      <c r="L29" s="230"/>
      <c r="M29" s="230"/>
      <c r="N29" s="230"/>
      <c r="O29" s="230"/>
      <c r="P29" s="230"/>
      <c r="Q29" s="230"/>
      <c r="S29" s="252" t="s">
        <v>428</v>
      </c>
      <c r="T29" s="224">
        <v>8</v>
      </c>
      <c r="U29" s="224" t="e">
        <f>IF($V$44&gt;=T29,INDEX(Tables!$B$1:$B$116,$U$44+T29),"")</f>
        <v>#N/A</v>
      </c>
      <c r="V29" s="224">
        <f t="shared" si="0"/>
        <v>21</v>
      </c>
      <c r="W29" s="224" t="e">
        <f>IF(SUM($X$21:X28)&gt;=$W$43,"",INDEX($U$21:$U$41,Y29))</f>
        <v>#N/A</v>
      </c>
      <c r="X29" s="224" t="e">
        <f t="shared" si="1"/>
        <v>#N/A</v>
      </c>
      <c r="Y29" s="224" t="e">
        <f>SUM($X$21:X28)+1</f>
        <v>#N/A</v>
      </c>
      <c r="AA29" s="224">
        <f>IF(T29&gt;=$U$46,"",INDEX(Tables!$C$1:$C$116,$T$46+T29))</f>
      </c>
    </row>
    <row r="30" spans="1:27" ht="18" customHeight="1" thickBot="1">
      <c r="A30" s="231" t="s">
        <v>323</v>
      </c>
      <c r="J30" s="230"/>
      <c r="K30" s="230"/>
      <c r="L30" s="230"/>
      <c r="M30" s="230"/>
      <c r="N30" s="230"/>
      <c r="O30" s="230"/>
      <c r="P30" s="230"/>
      <c r="Q30" s="230"/>
      <c r="S30" s="252" t="s">
        <v>429</v>
      </c>
      <c r="T30" s="224">
        <v>9</v>
      </c>
      <c r="U30" s="224" t="e">
        <f>IF($V$44&gt;=T30,INDEX(Tables!$B$1:$B$116,$U$44+T30),"")</f>
        <v>#N/A</v>
      </c>
      <c r="V30" s="224">
        <f t="shared" si="0"/>
        <v>21</v>
      </c>
      <c r="W30" s="224" t="e">
        <f>IF(SUM($X$21:X29)&gt;=$W$43,"",INDEX($U$21:$U$41,Y30))</f>
        <v>#N/A</v>
      </c>
      <c r="X30" s="224" t="e">
        <f t="shared" si="1"/>
        <v>#N/A</v>
      </c>
      <c r="Y30" s="224" t="e">
        <f>SUM($X$21:X29)+1</f>
        <v>#N/A</v>
      </c>
      <c r="AA30" s="224">
        <f>IF(T30&gt;=$U$46,"",INDEX(Tables!$C$1:$C$116,$T$46+T30))</f>
      </c>
    </row>
    <row r="31" spans="1:27" ht="44.25" customHeight="1">
      <c r="A31" s="253" t="s">
        <v>329</v>
      </c>
      <c r="B31" s="254"/>
      <c r="C31" s="255" t="s">
        <v>322</v>
      </c>
      <c r="D31" s="255" t="s">
        <v>324</v>
      </c>
      <c r="E31" s="255" t="s">
        <v>325</v>
      </c>
      <c r="F31" s="255" t="s">
        <v>326</v>
      </c>
      <c r="G31" s="256" t="s">
        <v>327</v>
      </c>
      <c r="H31" s="257"/>
      <c r="J31" s="230"/>
      <c r="K31" s="230"/>
      <c r="L31" s="230"/>
      <c r="M31" s="230"/>
      <c r="N31" s="230"/>
      <c r="O31" s="230"/>
      <c r="P31" s="230"/>
      <c r="Q31" s="230"/>
      <c r="S31" s="252" t="s">
        <v>430</v>
      </c>
      <c r="T31" s="224">
        <v>10</v>
      </c>
      <c r="U31" s="224" t="e">
        <f>IF($V$44&gt;=T31,INDEX(Tables!$B$1:$B$116,$U$44+T31),"")</f>
        <v>#N/A</v>
      </c>
      <c r="V31" s="224">
        <f t="shared" si="0"/>
        <v>21</v>
      </c>
      <c r="W31" s="224" t="e">
        <f>IF(SUM($X$21:X30)&gt;=$W$43,"",INDEX($U$21:$U$41,Y31))</f>
        <v>#N/A</v>
      </c>
      <c r="X31" s="224" t="e">
        <f t="shared" si="1"/>
        <v>#N/A</v>
      </c>
      <c r="Y31" s="224" t="e">
        <f>SUM($X$21:X30)+1</f>
        <v>#N/A</v>
      </c>
      <c r="AA31" s="224">
        <f>IF(T31&gt;=$U$46,"",INDEX(Tables!$C$1:$C$116,$T$46+T31))</f>
      </c>
    </row>
    <row r="32" spans="1:27" ht="12.75" customHeight="1">
      <c r="A32" s="258" t="s">
        <v>328</v>
      </c>
      <c r="B32" s="259"/>
      <c r="C32" s="170">
        <v>8</v>
      </c>
      <c r="D32" s="171">
        <v>2000</v>
      </c>
      <c r="E32" s="260">
        <f>D32*C32/100000</f>
        <v>0.16</v>
      </c>
      <c r="F32" s="261">
        <v>1.35</v>
      </c>
      <c r="G32" s="262">
        <f>E32*F32</f>
        <v>0.21600000000000003</v>
      </c>
      <c r="H32" s="257"/>
      <c r="J32" s="230"/>
      <c r="K32" s="230"/>
      <c r="L32" s="230"/>
      <c r="M32" s="230"/>
      <c r="N32" s="230"/>
      <c r="O32" s="230"/>
      <c r="P32" s="230"/>
      <c r="Q32" s="230"/>
      <c r="S32" s="252" t="s">
        <v>431</v>
      </c>
      <c r="T32" s="224">
        <v>11</v>
      </c>
      <c r="U32" s="224" t="e">
        <f>IF($V$44&gt;=T32,INDEX(Tables!$B$1:$B$116,$U$44+T32),"")</f>
        <v>#N/A</v>
      </c>
      <c r="V32" s="224">
        <f t="shared" si="0"/>
        <v>21</v>
      </c>
      <c r="W32" s="224" t="e">
        <f>IF(SUM($X$21:X31)&gt;=$W$43,"",INDEX($U$21:$U$41,Y32))</f>
        <v>#N/A</v>
      </c>
      <c r="X32" s="224" t="e">
        <f t="shared" si="1"/>
        <v>#N/A</v>
      </c>
      <c r="Y32" s="224" t="e">
        <f>SUM($X$21:X31)+1</f>
        <v>#N/A</v>
      </c>
      <c r="AA32" s="224">
        <f>IF(T32&gt;=$U$46,"",INDEX(Tables!$C$1:$C$116,$T$46+T32))</f>
      </c>
    </row>
    <row r="33" spans="1:27" ht="12.75" customHeight="1">
      <c r="A33" s="258" t="s">
        <v>331</v>
      </c>
      <c r="B33" s="259"/>
      <c r="C33" s="170">
        <v>2</v>
      </c>
      <c r="D33" s="171">
        <v>2100</v>
      </c>
      <c r="E33" s="260">
        <f>D33*C33/100000</f>
        <v>0.042</v>
      </c>
      <c r="F33" s="261">
        <v>1.35</v>
      </c>
      <c r="G33" s="262">
        <f>E33*F33</f>
        <v>0.05670000000000001</v>
      </c>
      <c r="H33" s="257"/>
      <c r="J33" s="230"/>
      <c r="K33" s="230"/>
      <c r="L33" s="230"/>
      <c r="M33" s="230"/>
      <c r="N33" s="230"/>
      <c r="O33" s="230"/>
      <c r="P33" s="230"/>
      <c r="Q33" s="230"/>
      <c r="S33" s="252" t="s">
        <v>432</v>
      </c>
      <c r="T33" s="224">
        <v>12</v>
      </c>
      <c r="U33" s="224" t="e">
        <f>IF($V$44&gt;=T33,INDEX(Tables!$B$1:$B$116,$U$44+T33),"")</f>
        <v>#N/A</v>
      </c>
      <c r="V33" s="224">
        <f t="shared" si="0"/>
        <v>21</v>
      </c>
      <c r="W33" s="224" t="e">
        <f>IF(SUM($X$21:X32)&gt;=$W$43,"",INDEX($U$21:$U$41,Y33))</f>
        <v>#N/A</v>
      </c>
      <c r="X33" s="224" t="e">
        <f t="shared" si="1"/>
        <v>#N/A</v>
      </c>
      <c r="Y33" s="224" t="e">
        <f>SUM($X$21:X32)+1</f>
        <v>#N/A</v>
      </c>
      <c r="AA33" s="224">
        <f>IF(T33&gt;=$U$46,"",INDEX(Tables!$C$1:$C$116,$T$46+T33))</f>
      </c>
    </row>
    <row r="34" spans="1:27" ht="12.75" customHeight="1">
      <c r="A34" s="258" t="s">
        <v>333</v>
      </c>
      <c r="B34" s="259"/>
      <c r="C34" s="170">
        <v>100</v>
      </c>
      <c r="D34" s="171">
        <v>2500</v>
      </c>
      <c r="E34" s="260">
        <f>D34*C34/100000</f>
        <v>2.5</v>
      </c>
      <c r="F34" s="261">
        <v>1.35</v>
      </c>
      <c r="G34" s="262">
        <f>E34*F34</f>
        <v>3.375</v>
      </c>
      <c r="H34" s="257"/>
      <c r="J34" s="230"/>
      <c r="K34" s="230"/>
      <c r="L34" s="230"/>
      <c r="M34" s="230"/>
      <c r="N34" s="230"/>
      <c r="O34" s="230"/>
      <c r="P34" s="230"/>
      <c r="Q34" s="230"/>
      <c r="S34" s="252" t="s">
        <v>433</v>
      </c>
      <c r="T34" s="224">
        <v>13</v>
      </c>
      <c r="U34" s="224" t="e">
        <f>IF($V$44&gt;=T34,INDEX(Tables!$B$1:$B$116,$U$44+T34),"")</f>
        <v>#N/A</v>
      </c>
      <c r="V34" s="224">
        <f t="shared" si="0"/>
        <v>21</v>
      </c>
      <c r="W34" s="224" t="e">
        <f>IF(SUM($X$21:X33)&gt;=$W$43,"",INDEX($U$21:$U$41,Y34))</f>
        <v>#N/A</v>
      </c>
      <c r="X34" s="224" t="e">
        <f t="shared" si="1"/>
        <v>#N/A</v>
      </c>
      <c r="Y34" s="224" t="e">
        <f>SUM($X$21:X33)+1</f>
        <v>#N/A</v>
      </c>
      <c r="AA34" s="224">
        <f>IF(T34&gt;=$U$46,"",INDEX(Tables!$C$1:$C$116,$T$46+T34))</f>
      </c>
    </row>
    <row r="35" spans="1:27" ht="12.75" customHeight="1">
      <c r="A35" s="258" t="s">
        <v>334</v>
      </c>
      <c r="B35" s="263"/>
      <c r="C35" s="264">
        <f>B27</f>
        <v>150</v>
      </c>
      <c r="D35" s="265">
        <v>2500</v>
      </c>
      <c r="E35" s="266">
        <f>C35/1000*D35/100</f>
        <v>3.75</v>
      </c>
      <c r="F35" s="261">
        <v>1.35</v>
      </c>
      <c r="G35" s="267">
        <f>F35*E35</f>
        <v>5.0625</v>
      </c>
      <c r="H35" s="257"/>
      <c r="J35" s="230"/>
      <c r="K35" s="230"/>
      <c r="L35" s="230"/>
      <c r="M35" s="230"/>
      <c r="N35" s="230"/>
      <c r="O35" s="230"/>
      <c r="P35" s="230"/>
      <c r="Q35" s="230"/>
      <c r="T35" s="224">
        <v>14</v>
      </c>
      <c r="U35" s="224" t="e">
        <f>IF($V$44&gt;=T35,INDEX(Tables!$B$1:$B$116,$U$44+T35),"")</f>
        <v>#N/A</v>
      </c>
      <c r="V35" s="224">
        <f t="shared" si="0"/>
        <v>21</v>
      </c>
      <c r="W35" s="224" t="e">
        <f>IF(SUM($X$21:X34)&gt;=$W$43,"",INDEX($U$21:$U$41,Y35))</f>
        <v>#N/A</v>
      </c>
      <c r="X35" s="224" t="e">
        <f t="shared" si="1"/>
        <v>#N/A</v>
      </c>
      <c r="Y35" s="224" t="e">
        <f>SUM($X$21:X34)+1</f>
        <v>#N/A</v>
      </c>
      <c r="AA35" s="224">
        <f>IF(T35&gt;=$U$46,"",INDEX(Tables!$C$1:$C$116,$T$46+T35))</f>
      </c>
    </row>
    <row r="36" spans="1:27" ht="12.75" customHeight="1">
      <c r="A36" s="258" t="s">
        <v>335</v>
      </c>
      <c r="B36" s="259"/>
      <c r="C36" s="170">
        <v>15</v>
      </c>
      <c r="D36" s="171">
        <v>1800</v>
      </c>
      <c r="E36" s="260">
        <f>D36*C36/100000</f>
        <v>0.27</v>
      </c>
      <c r="F36" s="261">
        <v>1.35</v>
      </c>
      <c r="G36" s="262">
        <f>E36*F36</f>
        <v>0.36450000000000005</v>
      </c>
      <c r="H36" s="257"/>
      <c r="J36" s="230"/>
      <c r="K36" s="230"/>
      <c r="L36" s="230"/>
      <c r="M36" s="230"/>
      <c r="N36" s="230"/>
      <c r="O36" s="230"/>
      <c r="P36" s="230"/>
      <c r="Q36" s="230"/>
      <c r="T36" s="224">
        <v>15</v>
      </c>
      <c r="U36" s="224" t="e">
        <f>IF($V$44&gt;=T36,INDEX(Tables!$B$1:$B$116,$U$44+T36),"")</f>
        <v>#N/A</v>
      </c>
      <c r="V36" s="224">
        <f t="shared" si="0"/>
        <v>21</v>
      </c>
      <c r="W36" s="224" t="e">
        <f>IF(SUM($X$21:X35)&gt;=$W$43,"",INDEX($U$21:$U$41,Y36))</f>
        <v>#N/A</v>
      </c>
      <c r="X36" s="224" t="e">
        <f t="shared" si="1"/>
        <v>#N/A</v>
      </c>
      <c r="Y36" s="224" t="e">
        <f>SUM($X$21:X35)+1</f>
        <v>#N/A</v>
      </c>
      <c r="AA36" s="224">
        <f>IF(T36&gt;=$U$46,"",INDEX(Tables!$C$1:$C$116,$T$46+T36))</f>
      </c>
    </row>
    <row r="37" spans="1:27" ht="16.5" customHeight="1">
      <c r="A37" s="268" t="s">
        <v>336</v>
      </c>
      <c r="B37" s="269"/>
      <c r="C37" s="270"/>
      <c r="D37" s="271" t="s">
        <v>159</v>
      </c>
      <c r="E37" s="272">
        <f>SUM(E32:E36)</f>
        <v>6.7219999999999995</v>
      </c>
      <c r="F37" s="273" t="s">
        <v>159</v>
      </c>
      <c r="G37" s="274">
        <f>SUM(G32:G36)</f>
        <v>9.0747</v>
      </c>
      <c r="J37" s="230"/>
      <c r="K37" s="230"/>
      <c r="L37" s="230"/>
      <c r="M37" s="230"/>
      <c r="N37" s="230"/>
      <c r="O37" s="230"/>
      <c r="P37" s="230"/>
      <c r="Q37" s="230"/>
      <c r="S37" s="275" t="s">
        <v>148</v>
      </c>
      <c r="T37" s="224">
        <v>16</v>
      </c>
      <c r="U37" s="224" t="e">
        <f>IF($V$44&gt;=T37,INDEX(Tables!$B$1:$B$116,$U$44+T37),"")</f>
        <v>#N/A</v>
      </c>
      <c r="V37" s="224">
        <f t="shared" si="0"/>
        <v>21</v>
      </c>
      <c r="W37" s="224" t="e">
        <f>IF(SUM($X$21:X36)&gt;=$W$43,"",INDEX($U$21:$U$41,Y37))</f>
        <v>#N/A</v>
      </c>
      <c r="X37" s="224" t="e">
        <f t="shared" si="1"/>
        <v>#N/A</v>
      </c>
      <c r="Y37" s="224" t="e">
        <f>SUM($X$21:X36)+1</f>
        <v>#N/A</v>
      </c>
      <c r="AA37" s="224">
        <f>IF(T37&gt;=$U$46,"",INDEX(Tables!$C$1:$C$116,$T$46+T37))</f>
      </c>
    </row>
    <row r="38" spans="1:27" ht="17.25" customHeight="1">
      <c r="A38" s="276" t="s">
        <v>330</v>
      </c>
      <c r="B38" s="277"/>
      <c r="C38" s="278"/>
      <c r="D38" s="278"/>
      <c r="E38" s="278"/>
      <c r="F38" s="278"/>
      <c r="G38" s="279"/>
      <c r="J38" s="230"/>
      <c r="K38" s="230"/>
      <c r="L38" s="230"/>
      <c r="M38" s="230"/>
      <c r="N38" s="230"/>
      <c r="O38" s="230"/>
      <c r="P38" s="230"/>
      <c r="Q38" s="230"/>
      <c r="S38" s="224" t="e">
        <f>IF(INDEX(X21:X41,MATCH(K34,W21:W41,0))=1,TRUE,FALSE)</f>
        <v>#N/A</v>
      </c>
      <c r="T38" s="224">
        <v>17</v>
      </c>
      <c r="U38" s="224" t="e">
        <f>IF($V$44&gt;=T38,INDEX(Tables!$B$1:$B$116,$U$44+T38),"")</f>
        <v>#N/A</v>
      </c>
      <c r="V38" s="224">
        <f t="shared" si="0"/>
        <v>21</v>
      </c>
      <c r="W38" s="224" t="e">
        <f>IF(SUM($X$21:X37)&gt;=$W$43,"",INDEX($U$21:$U$41,Y38))</f>
        <v>#N/A</v>
      </c>
      <c r="X38" s="224" t="e">
        <f t="shared" si="1"/>
        <v>#N/A</v>
      </c>
      <c r="Y38" s="224" t="e">
        <f>SUM($X$21:X37)+1</f>
        <v>#N/A</v>
      </c>
      <c r="AA38" s="224">
        <f>IF(T38&gt;=$U$46,"",INDEX(Tables!$C$1:$C$116,$T$46+T38))</f>
      </c>
    </row>
    <row r="39" spans="1:27" ht="12.75" customHeight="1">
      <c r="A39" s="280"/>
      <c r="B39" s="281"/>
      <c r="C39" s="282"/>
      <c r="D39" s="282"/>
      <c r="E39" s="282"/>
      <c r="F39" s="282"/>
      <c r="G39" s="283"/>
      <c r="J39" s="230"/>
      <c r="K39" s="230"/>
      <c r="L39" s="230"/>
      <c r="M39" s="230"/>
      <c r="N39" s="230"/>
      <c r="O39" s="230"/>
      <c r="P39" s="230"/>
      <c r="Q39" s="230"/>
      <c r="S39" s="224" t="s">
        <v>149</v>
      </c>
      <c r="T39" s="224">
        <v>18</v>
      </c>
      <c r="U39" s="224" t="e">
        <f>IF($V$44&gt;=T39,INDEX(Tables!$B$1:$B$116,$U$44+T39),"")</f>
        <v>#N/A</v>
      </c>
      <c r="V39" s="224">
        <f t="shared" si="0"/>
        <v>21</v>
      </c>
      <c r="W39" s="224" t="e">
        <f>IF(SUM($X$21:X38)&gt;=$W$43,"",INDEX($U$21:$U$41,Y39))</f>
        <v>#N/A</v>
      </c>
      <c r="X39" s="224" t="e">
        <f t="shared" si="1"/>
        <v>#N/A</v>
      </c>
      <c r="Y39" s="224" t="e">
        <f>SUM($X$21:X38)+1</f>
        <v>#N/A</v>
      </c>
      <c r="AA39" s="224">
        <f>IF(T39&gt;=$U$46,"",INDEX(Tables!$C$1:$C$116,$T$46+T39))</f>
      </c>
    </row>
    <row r="40" spans="1:27" ht="12.75" customHeight="1">
      <c r="A40" s="188" t="s">
        <v>410</v>
      </c>
      <c r="B40" s="189"/>
      <c r="C40" s="189"/>
      <c r="D40" s="190"/>
      <c r="E40" s="260">
        <f>LOOKUP(A40,U4:U15,V4:V15)</f>
        <v>5</v>
      </c>
      <c r="F40" s="261">
        <v>1.5</v>
      </c>
      <c r="G40" s="284">
        <f>F40*E40</f>
        <v>7.5</v>
      </c>
      <c r="J40" s="230"/>
      <c r="K40" s="230"/>
      <c r="L40" s="230"/>
      <c r="M40" s="230"/>
      <c r="N40" s="230"/>
      <c r="O40" s="230"/>
      <c r="P40" s="230"/>
      <c r="Q40" s="230"/>
      <c r="S40" s="224" t="e">
        <f>IF(MATCH(K34,W21:W41,0),TRUE,FALSE)</f>
        <v>#N/A</v>
      </c>
      <c r="T40" s="224">
        <v>19</v>
      </c>
      <c r="U40" s="224" t="e">
        <f>IF($V$44&gt;=T40,INDEX(Tables!$B$1:$B$116,$U$44+T40),"")</f>
        <v>#N/A</v>
      </c>
      <c r="V40" s="224">
        <f t="shared" si="0"/>
        <v>21</v>
      </c>
      <c r="W40" s="224" t="e">
        <f>IF(SUM($X$21:X39)&gt;=$W$43,"",INDEX($U$21:$U$41,Y40))</f>
        <v>#N/A</v>
      </c>
      <c r="X40" s="224" t="e">
        <f t="shared" si="1"/>
        <v>#N/A</v>
      </c>
      <c r="Y40" s="224" t="e">
        <f>SUM($X$21:X39)+1</f>
        <v>#N/A</v>
      </c>
      <c r="AA40" s="224">
        <f>IF(T40&gt;=$U$46,"",INDEX(Tables!$C$1:$C$116,$T$46+T40))</f>
      </c>
    </row>
    <row r="41" spans="1:27" ht="12.75" customHeight="1">
      <c r="A41" s="191" t="s">
        <v>419</v>
      </c>
      <c r="B41" s="192"/>
      <c r="C41" s="192"/>
      <c r="D41" s="193"/>
      <c r="E41" s="266">
        <f>IF(W4=TRUE,0,W5)</f>
        <v>1.2</v>
      </c>
      <c r="F41" s="264">
        <v>1.5</v>
      </c>
      <c r="G41" s="285">
        <f>E41*F41</f>
        <v>1.7999999999999998</v>
      </c>
      <c r="J41" s="230"/>
      <c r="K41" s="230"/>
      <c r="L41" s="230"/>
      <c r="M41" s="230"/>
      <c r="N41" s="230"/>
      <c r="O41" s="230"/>
      <c r="P41" s="230"/>
      <c r="Q41" s="230"/>
      <c r="S41" s="224" t="s">
        <v>153</v>
      </c>
      <c r="T41" s="224">
        <v>20</v>
      </c>
      <c r="U41" s="224" t="e">
        <f>IF($V$44&gt;=T41,INDEX(Tables!$B$1:$B$116,$U$44+T41),"")</f>
        <v>#N/A</v>
      </c>
      <c r="V41" s="224">
        <f t="shared" si="0"/>
        <v>21</v>
      </c>
      <c r="W41" s="224" t="e">
        <f>IF(SUM($X$21:X40)&gt;=$W$43,"",INDEX($U$21:$U$41,Y41))</f>
        <v>#N/A</v>
      </c>
      <c r="X41" s="224" t="e">
        <f t="shared" si="1"/>
        <v>#N/A</v>
      </c>
      <c r="Y41" s="224" t="e">
        <f>SUM($X$21:X40)+1</f>
        <v>#N/A</v>
      </c>
      <c r="AA41" s="224">
        <f>IF(T41&gt;=$U$46,"",INDEX(Tables!$C$1:$C$116,$T$46+T41))</f>
      </c>
    </row>
    <row r="42" spans="1:19" ht="16.5" customHeight="1">
      <c r="A42" s="286" t="s">
        <v>337</v>
      </c>
      <c r="B42" s="287"/>
      <c r="C42" s="287"/>
      <c r="D42" s="271" t="s">
        <v>159</v>
      </c>
      <c r="E42" s="288">
        <f>E41+E40</f>
        <v>6.2</v>
      </c>
      <c r="F42" s="273" t="s">
        <v>159</v>
      </c>
      <c r="G42" s="289">
        <f>G41+G40</f>
        <v>9.3</v>
      </c>
      <c r="J42" s="230"/>
      <c r="K42" s="230"/>
      <c r="L42" s="230"/>
      <c r="M42" s="230"/>
      <c r="N42" s="230"/>
      <c r="O42" s="230"/>
      <c r="P42" s="230"/>
      <c r="Q42" s="230"/>
      <c r="S42" s="224" t="e">
        <f>IF(MATCH(K36,AA21:AA41,0),1,0)</f>
        <v>#N/A</v>
      </c>
    </row>
    <row r="43" spans="1:23" ht="6" customHeight="1">
      <c r="A43" s="290"/>
      <c r="B43" s="291"/>
      <c r="C43" s="291"/>
      <c r="D43" s="291"/>
      <c r="E43" s="292"/>
      <c r="F43" s="291"/>
      <c r="G43" s="293"/>
      <c r="J43" s="230"/>
      <c r="K43" s="230"/>
      <c r="L43" s="230"/>
      <c r="M43" s="230"/>
      <c r="N43" s="230"/>
      <c r="O43" s="230"/>
      <c r="P43" s="230"/>
      <c r="Q43" s="230"/>
      <c r="S43" s="294" t="e">
        <f>IF(S38,1,0)</f>
        <v>#N/A</v>
      </c>
      <c r="W43" s="224">
        <f>21-COUNTBLANK(U21:U41)</f>
        <v>21</v>
      </c>
    </row>
    <row r="44" spans="1:22" ht="16.5" thickBot="1">
      <c r="A44" s="295" t="s">
        <v>338</v>
      </c>
      <c r="B44" s="296"/>
      <c r="C44" s="297"/>
      <c r="D44" s="297"/>
      <c r="E44" s="298">
        <f>E42+E37</f>
        <v>12.922</v>
      </c>
      <c r="F44" s="299"/>
      <c r="G44" s="300">
        <f>G42+G37</f>
        <v>18.3747</v>
      </c>
      <c r="J44" s="230"/>
      <c r="K44" s="230"/>
      <c r="L44" s="230"/>
      <c r="M44" s="230"/>
      <c r="N44" s="230"/>
      <c r="O44" s="230"/>
      <c r="P44" s="230"/>
      <c r="Q44" s="230"/>
      <c r="S44" s="294">
        <f>IF(ISERROR(S43),1,0)</f>
        <v>1</v>
      </c>
      <c r="T44" s="224" t="e">
        <f>MATCH(K32,Tables!$A$1:$A$116,1)</f>
        <v>#N/A</v>
      </c>
      <c r="U44" s="224" t="e">
        <f>MATCH(K32,Tables!A1:A116,0)</f>
        <v>#N/A</v>
      </c>
      <c r="V44" s="224" t="e">
        <f>T44-U44</f>
        <v>#N/A</v>
      </c>
    </row>
    <row r="45" spans="10:19" ht="45.75" customHeight="1">
      <c r="J45" s="230"/>
      <c r="K45" s="230"/>
      <c r="L45" s="230"/>
      <c r="M45" s="230"/>
      <c r="N45" s="230"/>
      <c r="O45" s="230"/>
      <c r="P45" s="230"/>
      <c r="Q45" s="230"/>
      <c r="S45" s="294" t="e">
        <f>IF(S38,0,IF(ISERROR(S42),1,0))</f>
        <v>#N/A</v>
      </c>
    </row>
    <row r="46" spans="1:21" ht="20.25">
      <c r="A46" s="228" t="s">
        <v>339</v>
      </c>
      <c r="J46" s="230"/>
      <c r="K46" s="230"/>
      <c r="L46" s="230"/>
      <c r="M46" s="230"/>
      <c r="N46" s="230"/>
      <c r="O46" s="230"/>
      <c r="P46" s="230"/>
      <c r="Q46" s="230"/>
      <c r="T46" s="224" t="e">
        <f>MATCH(K34,Tables!$B$1:$B$116,0)</f>
        <v>#N/A</v>
      </c>
      <c r="U46" s="224">
        <f>COUNTIF(U21:U41,K34)</f>
        <v>0</v>
      </c>
    </row>
    <row r="47" spans="1:17" ht="18.75" customHeight="1">
      <c r="A47" s="231" t="s">
        <v>340</v>
      </c>
      <c r="J47" s="230"/>
      <c r="K47" s="230"/>
      <c r="L47" s="230"/>
      <c r="M47" s="230"/>
      <c r="N47" s="230"/>
      <c r="O47" s="230"/>
      <c r="P47" s="230"/>
      <c r="Q47" s="230"/>
    </row>
    <row r="48" spans="1:17" ht="6" customHeight="1">
      <c r="A48" s="231"/>
      <c r="J48" s="230"/>
      <c r="K48" s="230"/>
      <c r="L48" s="230"/>
      <c r="M48" s="230"/>
      <c r="N48" s="230"/>
      <c r="O48" s="230"/>
      <c r="P48" s="230"/>
      <c r="Q48" s="230"/>
    </row>
    <row r="49" spans="1:17" ht="17.25" customHeight="1">
      <c r="A49" s="232"/>
      <c r="B49" s="227" t="s">
        <v>231</v>
      </c>
      <c r="C49" s="172">
        <v>10</v>
      </c>
      <c r="D49" s="301" t="s">
        <v>156</v>
      </c>
      <c r="J49" s="230"/>
      <c r="K49" s="230"/>
      <c r="L49" s="230"/>
      <c r="M49" s="230"/>
      <c r="N49" s="230"/>
      <c r="O49" s="230"/>
      <c r="P49" s="230"/>
      <c r="Q49" s="230"/>
    </row>
    <row r="50" spans="1:17" ht="12.75">
      <c r="A50" s="232"/>
      <c r="B50" s="227" t="s">
        <v>341</v>
      </c>
      <c r="C50" s="172">
        <v>50</v>
      </c>
      <c r="D50" s="301" t="s">
        <v>174</v>
      </c>
      <c r="J50" s="230"/>
      <c r="K50" s="230"/>
      <c r="L50" s="230"/>
      <c r="M50" s="230"/>
      <c r="N50" s="230"/>
      <c r="O50" s="230"/>
      <c r="P50" s="230"/>
      <c r="Q50" s="230"/>
    </row>
    <row r="51" spans="1:23" ht="14.25" customHeight="1">
      <c r="A51" s="232"/>
      <c r="B51" s="227" t="s">
        <v>342</v>
      </c>
      <c r="C51" s="172" t="s">
        <v>161</v>
      </c>
      <c r="D51" s="232"/>
      <c r="J51" s="230"/>
      <c r="K51" s="230"/>
      <c r="L51" s="230"/>
      <c r="M51" s="230"/>
      <c r="N51" s="230"/>
      <c r="O51" s="230"/>
      <c r="P51" s="230"/>
      <c r="Q51" s="230"/>
      <c r="T51" s="224">
        <v>6</v>
      </c>
      <c r="U51" s="224">
        <v>50</v>
      </c>
      <c r="W51" s="224" t="s">
        <v>160</v>
      </c>
    </row>
    <row r="52" spans="1:23" ht="15.75">
      <c r="A52" s="232"/>
      <c r="B52" s="302" t="s">
        <v>295</v>
      </c>
      <c r="C52" s="303">
        <f>LOOKUP(Tables!AC4,Tables!H3:H8,Tables!AE3:AE8)</f>
        <v>10</v>
      </c>
      <c r="D52" s="301" t="s">
        <v>156</v>
      </c>
      <c r="J52" s="230"/>
      <c r="K52" s="230"/>
      <c r="L52" s="230"/>
      <c r="M52" s="230"/>
      <c r="N52" s="230"/>
      <c r="O52" s="230"/>
      <c r="P52" s="230"/>
      <c r="Q52" s="230"/>
      <c r="T52" s="224">
        <v>8</v>
      </c>
      <c r="U52" s="224">
        <v>80</v>
      </c>
      <c r="W52" s="224" t="s">
        <v>161</v>
      </c>
    </row>
    <row r="53" spans="1:23" ht="15.75">
      <c r="A53" s="232"/>
      <c r="B53" s="302" t="s">
        <v>296</v>
      </c>
      <c r="C53" s="172">
        <v>0</v>
      </c>
      <c r="D53" s="301" t="s">
        <v>156</v>
      </c>
      <c r="J53" s="230"/>
      <c r="K53" s="230"/>
      <c r="L53" s="230"/>
      <c r="M53" s="230"/>
      <c r="N53" s="230"/>
      <c r="O53" s="230"/>
      <c r="P53" s="230"/>
      <c r="Q53" s="230"/>
      <c r="T53" s="224">
        <v>10</v>
      </c>
      <c r="U53" s="224">
        <v>100</v>
      </c>
      <c r="W53" s="224" t="s">
        <v>162</v>
      </c>
    </row>
    <row r="54" spans="1:23" ht="15.75">
      <c r="A54" s="232"/>
      <c r="B54" s="236" t="s">
        <v>297</v>
      </c>
      <c r="C54" s="172">
        <v>0</v>
      </c>
      <c r="D54" s="301" t="s">
        <v>156</v>
      </c>
      <c r="J54" s="230"/>
      <c r="K54" s="230"/>
      <c r="L54" s="230"/>
      <c r="M54" s="230"/>
      <c r="N54" s="230"/>
      <c r="O54" s="230"/>
      <c r="P54" s="230"/>
      <c r="Q54" s="230"/>
      <c r="W54" s="224" t="s">
        <v>163</v>
      </c>
    </row>
    <row r="55" spans="1:23" ht="15.75">
      <c r="A55" s="232"/>
      <c r="B55" s="236" t="s">
        <v>298</v>
      </c>
      <c r="C55" s="172">
        <v>0</v>
      </c>
      <c r="D55" s="301" t="s">
        <v>156</v>
      </c>
      <c r="J55" s="230"/>
      <c r="K55" s="230"/>
      <c r="L55" s="230"/>
      <c r="M55" s="230"/>
      <c r="N55" s="230"/>
      <c r="O55" s="230"/>
      <c r="P55" s="230"/>
      <c r="Q55" s="230"/>
      <c r="W55" s="224" t="s">
        <v>164</v>
      </c>
    </row>
    <row r="56" spans="1:23" ht="15.75">
      <c r="A56" s="232"/>
      <c r="B56" s="302" t="s">
        <v>299</v>
      </c>
      <c r="C56" s="303">
        <f>MAX(C49,C52+C53-C54-C55,10)</f>
        <v>10</v>
      </c>
      <c r="D56" s="301" t="s">
        <v>156</v>
      </c>
      <c r="J56" s="230"/>
      <c r="K56" s="230"/>
      <c r="L56" s="230"/>
      <c r="M56" s="230"/>
      <c r="N56" s="230"/>
      <c r="O56" s="230"/>
      <c r="P56" s="230"/>
      <c r="Q56" s="230"/>
      <c r="S56" s="224">
        <v>8</v>
      </c>
      <c r="W56" s="224" t="s">
        <v>165</v>
      </c>
    </row>
    <row r="57" spans="2:23" ht="19.5" customHeight="1">
      <c r="B57" s="304" t="s">
        <v>300</v>
      </c>
      <c r="C57" s="178">
        <v>10</v>
      </c>
      <c r="D57" s="305" t="s">
        <v>156</v>
      </c>
      <c r="J57" s="230"/>
      <c r="K57" s="230"/>
      <c r="L57" s="230"/>
      <c r="M57" s="230"/>
      <c r="N57" s="230"/>
      <c r="O57" s="230"/>
      <c r="P57" s="230"/>
      <c r="Q57" s="230"/>
      <c r="S57" s="224">
        <v>16</v>
      </c>
      <c r="W57" s="224" t="s">
        <v>166</v>
      </c>
    </row>
    <row r="58" spans="1:23" ht="15" thickBot="1">
      <c r="A58" s="306"/>
      <c r="B58" s="307" t="s">
        <v>301</v>
      </c>
      <c r="C58" s="308">
        <f>CEILING((C56+C57),5)</f>
        <v>20</v>
      </c>
      <c r="D58" s="309" t="s">
        <v>156</v>
      </c>
      <c r="J58" s="230"/>
      <c r="K58" s="230"/>
      <c r="L58" s="230"/>
      <c r="M58" s="230"/>
      <c r="N58" s="230"/>
      <c r="O58" s="230"/>
      <c r="P58" s="230"/>
      <c r="Q58" s="230"/>
      <c r="S58" s="224">
        <v>22</v>
      </c>
      <c r="W58" s="224" t="s">
        <v>167</v>
      </c>
    </row>
    <row r="59" spans="2:21" ht="19.5">
      <c r="B59" s="310"/>
      <c r="C59" s="311"/>
      <c r="D59" s="312"/>
      <c r="J59" s="230"/>
      <c r="K59" s="313" t="s">
        <v>494</v>
      </c>
      <c r="L59" s="230"/>
      <c r="M59" s="230"/>
      <c r="N59" s="230"/>
      <c r="O59" s="230"/>
      <c r="P59" s="230"/>
      <c r="Q59" s="230"/>
      <c r="S59" s="224">
        <v>32</v>
      </c>
      <c r="T59" s="314" t="s">
        <v>195</v>
      </c>
      <c r="U59" s="315" t="s">
        <v>211</v>
      </c>
    </row>
    <row r="60" spans="10:21" ht="12.75">
      <c r="J60" s="230"/>
      <c r="K60" s="230"/>
      <c r="L60" s="230"/>
      <c r="M60" s="230"/>
      <c r="N60" s="230"/>
      <c r="O60" s="230"/>
      <c r="P60" s="230"/>
      <c r="Q60" s="230"/>
      <c r="T60" s="316" t="s">
        <v>196</v>
      </c>
      <c r="U60" s="317" t="s">
        <v>212</v>
      </c>
    </row>
    <row r="61" spans="2:21" ht="12.75">
      <c r="B61" s="303" t="s">
        <v>332</v>
      </c>
      <c r="C61" s="178" t="s">
        <v>199</v>
      </c>
      <c r="E61" s="303" t="s">
        <v>343</v>
      </c>
      <c r="F61" s="173" t="s">
        <v>212</v>
      </c>
      <c r="J61" s="230"/>
      <c r="K61" s="230"/>
      <c r="L61" s="230"/>
      <c r="M61" s="230"/>
      <c r="N61" s="230"/>
      <c r="O61" s="230"/>
      <c r="P61" s="230"/>
      <c r="Q61" s="230"/>
      <c r="T61" s="316" t="s">
        <v>197</v>
      </c>
      <c r="U61" s="317" t="s">
        <v>213</v>
      </c>
    </row>
    <row r="62" spans="2:21" ht="15.75">
      <c r="B62" s="227" t="s">
        <v>302</v>
      </c>
      <c r="C62" s="178">
        <v>16</v>
      </c>
      <c r="D62" s="232" t="s">
        <v>156</v>
      </c>
      <c r="J62" s="230"/>
      <c r="K62" s="230"/>
      <c r="L62" s="230"/>
      <c r="M62" s="230"/>
      <c r="N62" s="230"/>
      <c r="O62" s="230"/>
      <c r="P62" s="230"/>
      <c r="Q62" s="230"/>
      <c r="T62" s="316" t="s">
        <v>198</v>
      </c>
      <c r="U62" s="319" t="s">
        <v>434</v>
      </c>
    </row>
    <row r="63" spans="2:21" ht="20.25" thickBot="1">
      <c r="B63" s="236" t="s">
        <v>214</v>
      </c>
      <c r="C63" s="320">
        <f>LOOKUP(C61,Tables!K57:K70,Tables!L57:L70)</f>
        <v>30</v>
      </c>
      <c r="D63" s="301" t="s">
        <v>215</v>
      </c>
      <c r="E63" s="236" t="s">
        <v>224</v>
      </c>
      <c r="F63" s="320">
        <f>LOOKUP(F61,Tables!K75:K78,Tables!L75:L78)</f>
        <v>500</v>
      </c>
      <c r="G63" s="301" t="s">
        <v>215</v>
      </c>
      <c r="J63" s="230"/>
      <c r="K63" s="230"/>
      <c r="L63" s="230"/>
      <c r="M63" s="230"/>
      <c r="N63" s="230"/>
      <c r="O63" s="230"/>
      <c r="P63" s="230"/>
      <c r="Q63" s="230"/>
      <c r="T63" s="316" t="s">
        <v>199</v>
      </c>
      <c r="U63" s="321" t="s">
        <v>435</v>
      </c>
    </row>
    <row r="64" spans="2:20" ht="19.5">
      <c r="B64" s="236" t="s">
        <v>216</v>
      </c>
      <c r="C64" s="303">
        <f>LOOKUP(C61,Tables!K57:K70,Tables!M57:M70)</f>
        <v>37</v>
      </c>
      <c r="D64" s="301" t="s">
        <v>215</v>
      </c>
      <c r="E64" s="236" t="s">
        <v>225</v>
      </c>
      <c r="F64" s="303">
        <f>LOOKUP(F61,Tables!K75:K78,Tables!M75:M78)</f>
        <v>550</v>
      </c>
      <c r="G64" s="301" t="s">
        <v>215</v>
      </c>
      <c r="J64" s="230"/>
      <c r="K64" s="230"/>
      <c r="L64" s="230"/>
      <c r="M64" s="230"/>
      <c r="N64" s="230"/>
      <c r="O64" s="230"/>
      <c r="P64" s="230"/>
      <c r="Q64" s="230"/>
      <c r="T64" s="316" t="s">
        <v>200</v>
      </c>
    </row>
    <row r="65" spans="2:20" ht="19.5">
      <c r="B65" s="236" t="s">
        <v>217</v>
      </c>
      <c r="C65" s="303">
        <f>LOOKUP(C61,Tables!K57:K70,Tables!N57:N70)</f>
        <v>38</v>
      </c>
      <c r="D65" s="301" t="s">
        <v>215</v>
      </c>
      <c r="E65" s="236" t="s">
        <v>0</v>
      </c>
      <c r="F65" s="322">
        <f>LOOKUP(F61,Tables!K75:K78,Tables!N75:N78)</f>
        <v>200000</v>
      </c>
      <c r="G65" s="301" t="s">
        <v>215</v>
      </c>
      <c r="J65" s="230"/>
      <c r="K65" s="230"/>
      <c r="L65" s="230"/>
      <c r="M65" s="230"/>
      <c r="N65" s="230"/>
      <c r="O65" s="230"/>
      <c r="P65" s="230"/>
      <c r="Q65" s="230"/>
      <c r="T65" s="316" t="s">
        <v>201</v>
      </c>
    </row>
    <row r="66" spans="2:20" ht="19.5">
      <c r="B66" s="236" t="s">
        <v>218</v>
      </c>
      <c r="C66" s="303">
        <f>LOOKUP(C61,Tables!K57:K70,Tables!O57:O70)</f>
        <v>2.9</v>
      </c>
      <c r="D66" s="301" t="s">
        <v>215</v>
      </c>
      <c r="E66" s="236" t="s">
        <v>226</v>
      </c>
      <c r="F66" s="303">
        <f>ROUND(F70/(F65/1000),3)</f>
        <v>2.174</v>
      </c>
      <c r="G66" s="301" t="s">
        <v>194</v>
      </c>
      <c r="J66" s="230"/>
      <c r="K66" s="230"/>
      <c r="L66" s="230"/>
      <c r="M66" s="230"/>
      <c r="N66" s="230"/>
      <c r="O66" s="230"/>
      <c r="P66" s="230"/>
      <c r="Q66" s="230"/>
      <c r="T66" s="316" t="s">
        <v>202</v>
      </c>
    </row>
    <row r="67" spans="2:20" ht="19.5">
      <c r="B67" s="236" t="s">
        <v>219</v>
      </c>
      <c r="C67" s="303">
        <f>LOOKUP(C61,Tables!K57:K70,Tables!P57:P70)</f>
        <v>2</v>
      </c>
      <c r="D67" s="301" t="s">
        <v>215</v>
      </c>
      <c r="E67" s="236" t="s">
        <v>222</v>
      </c>
      <c r="F67" s="303">
        <v>1.15</v>
      </c>
      <c r="G67" s="301" t="s">
        <v>223</v>
      </c>
      <c r="J67" s="230"/>
      <c r="K67" s="230"/>
      <c r="L67" s="230"/>
      <c r="M67" s="230"/>
      <c r="N67" s="230"/>
      <c r="O67" s="230"/>
      <c r="P67" s="230"/>
      <c r="Q67" s="230"/>
      <c r="T67" s="316" t="s">
        <v>203</v>
      </c>
    </row>
    <row r="68" spans="2:20" ht="19.5">
      <c r="B68" s="236" t="s">
        <v>220</v>
      </c>
      <c r="C68" s="303">
        <f>LOOKUP(C61,Tables!K57:K70,Tables!Q57:Q70)</f>
        <v>3.8</v>
      </c>
      <c r="D68" s="301" t="s">
        <v>215</v>
      </c>
      <c r="E68" s="236" t="s">
        <v>229</v>
      </c>
      <c r="F68" s="303">
        <f>ROUND(C70/(C70+F66),3)</f>
        <v>0.617</v>
      </c>
      <c r="G68" s="301" t="s">
        <v>223</v>
      </c>
      <c r="J68" s="230"/>
      <c r="K68" s="230"/>
      <c r="L68" s="230"/>
      <c r="M68" s="230"/>
      <c r="N68" s="230"/>
      <c r="O68" s="230"/>
      <c r="P68" s="230"/>
      <c r="Q68" s="230"/>
      <c r="T68" s="316" t="s">
        <v>204</v>
      </c>
    </row>
    <row r="69" spans="2:20" ht="19.5">
      <c r="B69" s="236" t="s">
        <v>221</v>
      </c>
      <c r="C69" s="303">
        <f>LOOKUP(C61,Tables!K57:K70,Tables!R57:R70)</f>
        <v>32</v>
      </c>
      <c r="D69" s="301" t="s">
        <v>215</v>
      </c>
      <c r="E69" s="236" t="s">
        <v>229</v>
      </c>
      <c r="F69" s="303">
        <v>0.45</v>
      </c>
      <c r="G69" s="301" t="s">
        <v>223</v>
      </c>
      <c r="J69" s="230"/>
      <c r="K69" s="313" t="s">
        <v>495</v>
      </c>
      <c r="L69" s="230"/>
      <c r="M69" s="230"/>
      <c r="N69" s="230"/>
      <c r="O69" s="230"/>
      <c r="P69" s="230"/>
      <c r="Q69" s="230"/>
      <c r="T69" s="316" t="s">
        <v>205</v>
      </c>
    </row>
    <row r="70" spans="2:20" ht="19.5">
      <c r="B70" s="236" t="s">
        <v>192</v>
      </c>
      <c r="C70" s="303">
        <f>LOOKUP(C61,Tables!K57:K70,Tables!S57:S70)</f>
        <v>3.5</v>
      </c>
      <c r="D70" s="301" t="s">
        <v>194</v>
      </c>
      <c r="E70" s="236" t="s">
        <v>227</v>
      </c>
      <c r="F70" s="323">
        <f>F63/F67</f>
        <v>434.7826086956522</v>
      </c>
      <c r="G70" s="301" t="s">
        <v>215</v>
      </c>
      <c r="J70" s="230"/>
      <c r="K70" s="230"/>
      <c r="L70" s="230"/>
      <c r="M70" s="230"/>
      <c r="N70" s="230"/>
      <c r="O70" s="230"/>
      <c r="P70" s="230"/>
      <c r="Q70" s="230"/>
      <c r="T70" s="316" t="s">
        <v>206</v>
      </c>
    </row>
    <row r="71" spans="2:20" ht="19.5">
      <c r="B71" s="236" t="s">
        <v>222</v>
      </c>
      <c r="C71" s="303">
        <v>1.5</v>
      </c>
      <c r="D71" s="301" t="s">
        <v>223</v>
      </c>
      <c r="E71" s="236"/>
      <c r="F71" s="236"/>
      <c r="G71" s="236"/>
      <c r="J71" s="230"/>
      <c r="K71" s="230"/>
      <c r="L71" s="230"/>
      <c r="M71" s="230"/>
      <c r="N71" s="230"/>
      <c r="O71" s="230"/>
      <c r="P71" s="230"/>
      <c r="Q71" s="230"/>
      <c r="T71" s="316" t="s">
        <v>207</v>
      </c>
    </row>
    <row r="72" spans="2:20" ht="17.25" customHeight="1" thickBot="1">
      <c r="B72" s="236" t="s">
        <v>228</v>
      </c>
      <c r="C72" s="320">
        <f>C63/C71</f>
        <v>20</v>
      </c>
      <c r="D72" s="301" t="s">
        <v>215</v>
      </c>
      <c r="E72" s="236"/>
      <c r="F72" s="236"/>
      <c r="G72" s="236"/>
      <c r="J72" s="230"/>
      <c r="K72" s="230"/>
      <c r="L72" s="230"/>
      <c r="M72" s="230"/>
      <c r="N72" s="230"/>
      <c r="O72" s="230"/>
      <c r="P72" s="230"/>
      <c r="Q72" s="230"/>
      <c r="T72" s="324" t="s">
        <v>208</v>
      </c>
    </row>
    <row r="73" spans="10:20" ht="17.25" customHeight="1">
      <c r="J73" s="230"/>
      <c r="K73" s="230"/>
      <c r="L73" s="230"/>
      <c r="M73" s="230"/>
      <c r="N73" s="230"/>
      <c r="O73" s="230"/>
      <c r="P73" s="230"/>
      <c r="Q73" s="230"/>
      <c r="T73" s="325"/>
    </row>
    <row r="74" spans="10:20" ht="17.25" customHeight="1">
      <c r="J74" s="230"/>
      <c r="K74" s="230"/>
      <c r="L74" s="230"/>
      <c r="M74" s="230"/>
      <c r="N74" s="230"/>
      <c r="O74" s="230"/>
      <c r="P74" s="230"/>
      <c r="Q74" s="230"/>
      <c r="T74" s="325"/>
    </row>
    <row r="75" spans="10:17" ht="12.75">
      <c r="J75" s="230"/>
      <c r="K75" s="230"/>
      <c r="L75" s="230"/>
      <c r="M75" s="230"/>
      <c r="N75" s="230"/>
      <c r="O75" s="230"/>
      <c r="P75" s="230"/>
      <c r="Q75" s="230"/>
    </row>
    <row r="76" spans="1:17" ht="18">
      <c r="A76" s="231" t="s">
        <v>344</v>
      </c>
      <c r="J76" s="230"/>
      <c r="K76" s="230"/>
      <c r="L76" s="230"/>
      <c r="M76" s="230"/>
      <c r="N76" s="230"/>
      <c r="O76" s="230"/>
      <c r="P76" s="230"/>
      <c r="Q76" s="230"/>
    </row>
    <row r="77" spans="10:17" ht="12.75">
      <c r="J77" s="230"/>
      <c r="K77" s="230"/>
      <c r="L77" s="230"/>
      <c r="M77" s="230"/>
      <c r="N77" s="230"/>
      <c r="O77" s="230"/>
      <c r="P77" s="230"/>
      <c r="Q77" s="230"/>
    </row>
    <row r="78" spans="10:17" ht="12.75">
      <c r="J78" s="230"/>
      <c r="K78" s="230"/>
      <c r="L78" s="230"/>
      <c r="M78" s="230"/>
      <c r="N78" s="230"/>
      <c r="O78" s="230"/>
      <c r="P78" s="230"/>
      <c r="Q78" s="230"/>
    </row>
    <row r="79" spans="10:17" ht="12.75">
      <c r="J79" s="230"/>
      <c r="K79" s="230"/>
      <c r="L79" s="230"/>
      <c r="M79" s="230"/>
      <c r="N79" s="230"/>
      <c r="O79" s="230"/>
      <c r="P79" s="230"/>
      <c r="Q79" s="230"/>
    </row>
    <row r="80" spans="10:17" ht="12.75">
      <c r="J80" s="230"/>
      <c r="K80" s="230"/>
      <c r="L80" s="230"/>
      <c r="M80" s="230"/>
      <c r="N80" s="230"/>
      <c r="O80" s="230"/>
      <c r="P80" s="230"/>
      <c r="Q80" s="230"/>
    </row>
    <row r="81" spans="10:17" ht="12.75">
      <c r="J81" s="230"/>
      <c r="K81" s="230"/>
      <c r="L81" s="230"/>
      <c r="M81" s="230"/>
      <c r="N81" s="230"/>
      <c r="O81" s="230"/>
      <c r="P81" s="230"/>
      <c r="Q81" s="230"/>
    </row>
    <row r="82" spans="10:17" ht="12.75">
      <c r="J82" s="230"/>
      <c r="K82" s="230"/>
      <c r="L82" s="230"/>
      <c r="M82" s="230"/>
      <c r="N82" s="230"/>
      <c r="O82" s="230"/>
      <c r="P82" s="230"/>
      <c r="Q82" s="230"/>
    </row>
    <row r="83" spans="10:17" ht="12.75">
      <c r="J83" s="230"/>
      <c r="K83" s="230"/>
      <c r="L83" s="230"/>
      <c r="M83" s="230"/>
      <c r="N83" s="230"/>
      <c r="O83" s="230"/>
      <c r="P83" s="230"/>
      <c r="Q83" s="230"/>
    </row>
    <row r="84" spans="7:17" ht="15.75">
      <c r="G84" s="326" t="s">
        <v>303</v>
      </c>
      <c r="H84" s="327">
        <f>-0.1*G44*B10*B10</f>
        <v>0</v>
      </c>
      <c r="I84" s="328" t="s">
        <v>175</v>
      </c>
      <c r="J84" s="230"/>
      <c r="K84" s="230"/>
      <c r="L84" s="230"/>
      <c r="M84" s="230"/>
      <c r="N84" s="230"/>
      <c r="O84" s="230"/>
      <c r="P84" s="230"/>
      <c r="Q84" s="230"/>
    </row>
    <row r="85" spans="7:17" ht="15.75">
      <c r="G85" s="329" t="s">
        <v>304</v>
      </c>
      <c r="H85" s="330">
        <f>0.08*B10*B10*G44</f>
        <v>0</v>
      </c>
      <c r="I85" s="331" t="s">
        <v>175</v>
      </c>
      <c r="J85" s="230"/>
      <c r="K85" s="230"/>
      <c r="L85" s="230"/>
      <c r="M85" s="230"/>
      <c r="N85" s="230"/>
      <c r="O85" s="230"/>
      <c r="P85" s="230"/>
      <c r="Q85" s="230"/>
    </row>
    <row r="86" spans="7:17" ht="15.75">
      <c r="G86" s="329" t="s">
        <v>305</v>
      </c>
      <c r="H86" s="330">
        <f>0.025*B10*B10*G44</f>
        <v>0</v>
      </c>
      <c r="I86" s="331" t="s">
        <v>175</v>
      </c>
      <c r="J86" s="230"/>
      <c r="K86" s="230"/>
      <c r="L86" s="230"/>
      <c r="M86" s="230"/>
      <c r="N86" s="230"/>
      <c r="O86" s="230"/>
      <c r="P86" s="230"/>
      <c r="Q86" s="230"/>
    </row>
    <row r="87" spans="10:17" ht="12.75">
      <c r="J87" s="230"/>
      <c r="K87" s="230"/>
      <c r="L87" s="230"/>
      <c r="M87" s="230"/>
      <c r="N87" s="230"/>
      <c r="O87" s="230"/>
      <c r="P87" s="230"/>
      <c r="Q87" s="230"/>
    </row>
    <row r="88" spans="10:23" ht="12.75" hidden="1">
      <c r="J88" s="230"/>
      <c r="K88" s="230"/>
      <c r="L88" s="230"/>
      <c r="M88" s="230"/>
      <c r="N88" s="230"/>
      <c r="O88" s="230"/>
      <c r="P88" s="230"/>
      <c r="Q88" s="230"/>
      <c r="V88" s="224">
        <v>5.5</v>
      </c>
      <c r="W88" s="224">
        <v>70</v>
      </c>
    </row>
    <row r="89" spans="10:23" ht="12.75" hidden="1">
      <c r="J89" s="230"/>
      <c r="K89" s="230"/>
      <c r="L89" s="230"/>
      <c r="M89" s="230"/>
      <c r="N89" s="230"/>
      <c r="O89" s="313"/>
      <c r="P89" s="230"/>
      <c r="Q89" s="313"/>
      <c r="R89" s="306"/>
      <c r="V89" s="224">
        <v>6</v>
      </c>
      <c r="W89" s="224">
        <v>75</v>
      </c>
    </row>
    <row r="90" spans="10:23" ht="12.75" hidden="1">
      <c r="J90" s="230"/>
      <c r="K90" s="230"/>
      <c r="L90" s="230"/>
      <c r="M90" s="230"/>
      <c r="N90" s="230"/>
      <c r="O90" s="230"/>
      <c r="P90" s="230"/>
      <c r="Q90" s="230"/>
      <c r="V90" s="224">
        <v>6.5</v>
      </c>
      <c r="W90" s="224">
        <v>80</v>
      </c>
    </row>
    <row r="91" spans="10:23" ht="12.75" hidden="1">
      <c r="J91" s="230"/>
      <c r="K91" s="230"/>
      <c r="L91" s="230"/>
      <c r="M91" s="230"/>
      <c r="N91" s="230"/>
      <c r="O91" s="230"/>
      <c r="P91" s="230"/>
      <c r="Q91" s="230"/>
      <c r="V91" s="224">
        <v>7</v>
      </c>
      <c r="W91" s="224">
        <v>85</v>
      </c>
    </row>
    <row r="92" spans="10:23" ht="12.75" hidden="1">
      <c r="J92" s="230"/>
      <c r="K92" s="230"/>
      <c r="L92" s="230"/>
      <c r="M92" s="230"/>
      <c r="N92" s="230"/>
      <c r="O92" s="230"/>
      <c r="P92" s="230"/>
      <c r="Q92" s="230"/>
      <c r="V92" s="224">
        <v>8</v>
      </c>
      <c r="W92" s="224">
        <v>90</v>
      </c>
    </row>
    <row r="93" spans="10:23" ht="12.75" hidden="1">
      <c r="J93" s="230"/>
      <c r="K93" s="230"/>
      <c r="L93" s="230"/>
      <c r="M93" s="230"/>
      <c r="N93" s="230"/>
      <c r="O93" s="230"/>
      <c r="P93" s="230"/>
      <c r="Q93" s="230"/>
      <c r="V93" s="224">
        <v>10</v>
      </c>
      <c r="W93" s="224">
        <v>95</v>
      </c>
    </row>
    <row r="94" spans="1:23" ht="12.75">
      <c r="A94" s="232" t="s">
        <v>345</v>
      </c>
      <c r="J94" s="230"/>
      <c r="K94" s="230"/>
      <c r="L94" s="230"/>
      <c r="M94" s="230"/>
      <c r="N94" s="230"/>
      <c r="O94" s="230"/>
      <c r="P94" s="230"/>
      <c r="Q94" s="230"/>
      <c r="V94" s="224">
        <v>12</v>
      </c>
      <c r="W94" s="224">
        <v>100</v>
      </c>
    </row>
    <row r="95" spans="2:23" ht="12.75">
      <c r="B95" s="232" t="s">
        <v>176</v>
      </c>
      <c r="C95" s="294">
        <f>B27-C58-C49/2</f>
        <v>125</v>
      </c>
      <c r="D95" s="232" t="s">
        <v>156</v>
      </c>
      <c r="J95" s="230"/>
      <c r="K95" s="230"/>
      <c r="L95" s="230"/>
      <c r="M95" s="230"/>
      <c r="N95" s="230"/>
      <c r="O95" s="230"/>
      <c r="P95" s="230"/>
      <c r="Q95" s="230"/>
      <c r="V95" s="224">
        <v>14</v>
      </c>
      <c r="W95" s="224">
        <v>105</v>
      </c>
    </row>
    <row r="96" spans="10:23" ht="12.75">
      <c r="J96" s="230"/>
      <c r="K96" s="230"/>
      <c r="L96" s="230"/>
      <c r="M96" s="230"/>
      <c r="N96" s="230"/>
      <c r="O96" s="230"/>
      <c r="P96" s="230"/>
      <c r="Q96" s="230"/>
      <c r="V96" s="224">
        <v>16</v>
      </c>
      <c r="W96" s="224">
        <v>110</v>
      </c>
    </row>
    <row r="97" spans="1:23" ht="18">
      <c r="A97" s="231" t="s">
        <v>346</v>
      </c>
      <c r="J97" s="230"/>
      <c r="K97" s="230"/>
      <c r="L97" s="230"/>
      <c r="M97" s="230"/>
      <c r="N97" s="230"/>
      <c r="O97" s="230"/>
      <c r="P97" s="230"/>
      <c r="Q97" s="230"/>
      <c r="V97" s="224">
        <v>18</v>
      </c>
      <c r="W97" s="224">
        <v>115</v>
      </c>
    </row>
    <row r="98" spans="10:23" ht="12.75">
      <c r="J98" s="230"/>
      <c r="K98" s="230"/>
      <c r="L98" s="230"/>
      <c r="M98" s="230"/>
      <c r="N98" s="230"/>
      <c r="O98" s="230"/>
      <c r="P98" s="230"/>
      <c r="Q98" s="230"/>
      <c r="V98" s="224">
        <v>20</v>
      </c>
      <c r="W98" s="224">
        <v>120</v>
      </c>
    </row>
    <row r="99" spans="10:23" ht="12.75">
      <c r="J99" s="230"/>
      <c r="K99" s="230"/>
      <c r="L99" s="230"/>
      <c r="M99" s="230"/>
      <c r="N99" s="230"/>
      <c r="O99" s="230"/>
      <c r="P99" s="230"/>
      <c r="Q99" s="230"/>
      <c r="T99" s="224">
        <f>Tables!AE16</f>
        <v>5.5</v>
      </c>
      <c r="V99" s="224">
        <v>22</v>
      </c>
      <c r="W99" s="224">
        <v>125</v>
      </c>
    </row>
    <row r="100" spans="3:23" ht="33.75" customHeight="1">
      <c r="C100" s="332">
        <f>H84*-1000/(F70*C95/1000)</f>
        <v>0</v>
      </c>
      <c r="D100" s="333" t="s">
        <v>306</v>
      </c>
      <c r="J100" s="230"/>
      <c r="K100" s="230"/>
      <c r="L100" s="230"/>
      <c r="M100" s="230"/>
      <c r="N100" s="230"/>
      <c r="O100" s="230"/>
      <c r="P100" s="230"/>
      <c r="Q100" s="230"/>
      <c r="T100" s="224">
        <f>Tables!AE17</f>
        <v>125</v>
      </c>
      <c r="V100" s="224">
        <v>25</v>
      </c>
      <c r="W100" s="224">
        <v>130</v>
      </c>
    </row>
    <row r="101" spans="1:23" ht="12.75">
      <c r="A101" s="334" t="s">
        <v>347</v>
      </c>
      <c r="B101" s="334"/>
      <c r="J101" s="230"/>
      <c r="K101" s="230"/>
      <c r="L101" s="230"/>
      <c r="M101" s="230"/>
      <c r="N101" s="230"/>
      <c r="O101" s="230"/>
      <c r="P101" s="230"/>
      <c r="Q101" s="230"/>
      <c r="R101" s="306"/>
      <c r="T101" s="335" t="s">
        <v>231</v>
      </c>
      <c r="W101" s="224">
        <v>135</v>
      </c>
    </row>
    <row r="102" spans="1:23" ht="12.75">
      <c r="A102" s="334"/>
      <c r="B102" s="334"/>
      <c r="C102" s="336" t="str">
        <f>CONCATENATE(T101," ",T99," every ",T100," (As= ",T102," mm2)")</f>
        <v>Ø 5,5 every 125 (As= 190 mm2)</v>
      </c>
      <c r="D102" s="336"/>
      <c r="E102" s="336"/>
      <c r="J102" s="230"/>
      <c r="K102" s="230"/>
      <c r="L102" s="230"/>
      <c r="M102" s="230"/>
      <c r="N102" s="230"/>
      <c r="O102" s="230"/>
      <c r="P102" s="230"/>
      <c r="Q102" s="230"/>
      <c r="S102" s="232" t="s">
        <v>239</v>
      </c>
      <c r="T102" s="337">
        <f>Tables!AE15</f>
        <v>190</v>
      </c>
      <c r="W102" s="224">
        <v>140</v>
      </c>
    </row>
    <row r="103" spans="1:23" ht="12.75">
      <c r="A103" s="334" t="s">
        <v>348</v>
      </c>
      <c r="B103" s="334"/>
      <c r="J103" s="230"/>
      <c r="K103" s="230"/>
      <c r="L103" s="230"/>
      <c r="M103" s="230"/>
      <c r="N103" s="230"/>
      <c r="O103" s="230"/>
      <c r="P103" s="230"/>
      <c r="Q103" s="230"/>
      <c r="W103" s="224">
        <v>145</v>
      </c>
    </row>
    <row r="104" spans="1:23" ht="12.75">
      <c r="A104" s="334"/>
      <c r="B104" s="334"/>
      <c r="C104" s="173" t="s">
        <v>437</v>
      </c>
      <c r="E104" s="224" t="str">
        <f>IF(T110=1,CONCATENATE(T101," ",C106," po ",C107," (As,prov= ",T111," mm2)"),C102)</f>
        <v>Ø 5,5 every 125 (As= 190 mm2)</v>
      </c>
      <c r="J104" s="230"/>
      <c r="K104" s="230"/>
      <c r="L104" s="230"/>
      <c r="M104" s="230"/>
      <c r="N104" s="230"/>
      <c r="O104" s="230"/>
      <c r="P104" s="230"/>
      <c r="Q104" s="230"/>
      <c r="W104" s="224">
        <v>150</v>
      </c>
    </row>
    <row r="105" spans="10:23" ht="12.75">
      <c r="J105" s="230"/>
      <c r="K105" s="230"/>
      <c r="L105" s="230"/>
      <c r="M105" s="230"/>
      <c r="N105" s="230"/>
      <c r="O105" s="230"/>
      <c r="P105" s="230"/>
      <c r="Q105" s="230"/>
      <c r="W105" s="224">
        <v>155</v>
      </c>
    </row>
    <row r="106" spans="2:23" ht="12.75">
      <c r="B106" s="338" t="s">
        <v>231</v>
      </c>
      <c r="C106" s="339">
        <v>5.5</v>
      </c>
      <c r="D106" s="232" t="s">
        <v>156</v>
      </c>
      <c r="J106" s="230"/>
      <c r="K106" s="230"/>
      <c r="L106" s="230"/>
      <c r="M106" s="230"/>
      <c r="N106" s="230"/>
      <c r="O106" s="230"/>
      <c r="P106" s="230"/>
      <c r="Q106" s="230"/>
      <c r="W106" s="224">
        <v>160</v>
      </c>
    </row>
    <row r="107" spans="2:23" ht="12.75">
      <c r="B107" s="227" t="s">
        <v>232</v>
      </c>
      <c r="C107" s="339">
        <v>300</v>
      </c>
      <c r="D107" s="232" t="s">
        <v>156</v>
      </c>
      <c r="J107" s="230"/>
      <c r="K107" s="230"/>
      <c r="L107" s="230"/>
      <c r="M107" s="230"/>
      <c r="N107" s="230"/>
      <c r="O107" s="230"/>
      <c r="P107" s="230"/>
      <c r="Q107" s="230"/>
      <c r="W107" s="224">
        <v>165</v>
      </c>
    </row>
    <row r="108" spans="10:23" ht="12.75">
      <c r="J108" s="230"/>
      <c r="K108" s="230"/>
      <c r="L108" s="230"/>
      <c r="M108" s="230"/>
      <c r="N108" s="230"/>
      <c r="O108" s="230"/>
      <c r="P108" s="230"/>
      <c r="Q108" s="230"/>
      <c r="T108" s="232" t="s">
        <v>436</v>
      </c>
      <c r="W108" s="224">
        <v>170</v>
      </c>
    </row>
    <row r="109" spans="3:23" ht="12.75">
      <c r="C109" s="340">
        <f>IF($T$110=1,S114,T114)</f>
        <v>5.163043478260869</v>
      </c>
      <c r="D109" s="232" t="s">
        <v>156</v>
      </c>
      <c r="J109" s="230"/>
      <c r="K109" s="230"/>
      <c r="L109" s="230"/>
      <c r="M109" s="230"/>
      <c r="N109" s="230"/>
      <c r="O109" s="230"/>
      <c r="P109" s="230"/>
      <c r="Q109" s="230"/>
      <c r="T109" s="232" t="s">
        <v>437</v>
      </c>
      <c r="W109" s="224">
        <v>175</v>
      </c>
    </row>
    <row r="110" spans="3:23" ht="12.75">
      <c r="C110" s="294"/>
      <c r="J110" s="230"/>
      <c r="K110" s="230"/>
      <c r="L110" s="230"/>
      <c r="M110" s="230"/>
      <c r="N110" s="230"/>
      <c r="O110" s="230"/>
      <c r="P110" s="230"/>
      <c r="Q110" s="230"/>
      <c r="T110" s="224">
        <f>IF(C104=T108,1,2)</f>
        <v>2</v>
      </c>
      <c r="W110" s="224">
        <v>180</v>
      </c>
    </row>
    <row r="111" spans="3:23" ht="12.75">
      <c r="C111" s="341">
        <f>IF($T$110=1,S115,T115)</f>
        <v>127.25</v>
      </c>
      <c r="D111" s="232" t="s">
        <v>156</v>
      </c>
      <c r="J111" s="230"/>
      <c r="K111" s="230"/>
      <c r="L111" s="230"/>
      <c r="M111" s="230"/>
      <c r="N111" s="230"/>
      <c r="O111" s="230"/>
      <c r="P111" s="230"/>
      <c r="Q111" s="230"/>
      <c r="S111" s="232" t="s">
        <v>233</v>
      </c>
      <c r="T111" s="224">
        <f>LOOKUP(C107,Tables!X20:X52,Tables!AO20:AO52)</f>
        <v>79</v>
      </c>
      <c r="U111" s="232" t="s">
        <v>177</v>
      </c>
      <c r="W111" s="224">
        <v>185</v>
      </c>
    </row>
    <row r="112" spans="3:23" ht="12.75">
      <c r="C112" s="294"/>
      <c r="J112" s="230"/>
      <c r="K112" s="230"/>
      <c r="L112" s="230"/>
      <c r="M112" s="230"/>
      <c r="N112" s="230"/>
      <c r="O112" s="230"/>
      <c r="P112" s="230"/>
      <c r="Q112" s="230"/>
      <c r="W112" s="224">
        <v>190</v>
      </c>
    </row>
    <row r="113" spans="3:23" ht="12.75">
      <c r="C113" s="342">
        <f>IF($T$110=1,S116,T116)</f>
        <v>0.04057401554625437</v>
      </c>
      <c r="D113" s="232" t="s">
        <v>223</v>
      </c>
      <c r="E113" s="224" t="str">
        <f>CONCATENATE(T141," ","0,45 = ",S140)</f>
        <v>&lt; 0,45 = ξ bal</v>
      </c>
      <c r="J113" s="230"/>
      <c r="K113" s="230"/>
      <c r="L113" s="230"/>
      <c r="M113" s="230"/>
      <c r="N113" s="230"/>
      <c r="O113" s="230"/>
      <c r="P113" s="230"/>
      <c r="Q113" s="230"/>
      <c r="S113" s="224">
        <v>1</v>
      </c>
      <c r="T113" s="224">
        <v>2</v>
      </c>
      <c r="W113" s="224">
        <v>195</v>
      </c>
    </row>
    <row r="114" spans="3:23" ht="15">
      <c r="C114" s="294"/>
      <c r="E114" s="343">
        <f>IF(C113&lt;0.45,"","Nutno změnit geometrii stropu")</f>
      </c>
      <c r="J114" s="230"/>
      <c r="K114" s="230"/>
      <c r="L114" s="230"/>
      <c r="M114" s="230"/>
      <c r="N114" s="230"/>
      <c r="O114" s="230"/>
      <c r="P114" s="230"/>
      <c r="Q114" s="230"/>
      <c r="R114" s="232" t="s">
        <v>236</v>
      </c>
      <c r="S114" s="224">
        <f>T111*F70/1000/0.8/C72</f>
        <v>2.1467391304347823</v>
      </c>
      <c r="T114" s="224">
        <f>T102*F70/1000/0.8/C72</f>
        <v>5.163043478260869</v>
      </c>
      <c r="W114" s="224">
        <v>200</v>
      </c>
    </row>
    <row r="115" spans="3:23" ht="12.75">
      <c r="C115" s="341">
        <f>IF($T$110=1,S117,T117)</f>
        <v>124.66847826086956</v>
      </c>
      <c r="D115" s="232" t="s">
        <v>156</v>
      </c>
      <c r="J115" s="230"/>
      <c r="K115" s="230"/>
      <c r="L115" s="230"/>
      <c r="M115" s="230"/>
      <c r="N115" s="230"/>
      <c r="O115" s="230"/>
      <c r="P115" s="230"/>
      <c r="Q115" s="230"/>
      <c r="R115" s="232" t="s">
        <v>157</v>
      </c>
      <c r="S115" s="224">
        <f>B27-C58-C106/2</f>
        <v>127.25</v>
      </c>
      <c r="T115" s="224">
        <f>B27-C58-T99/2</f>
        <v>127.25</v>
      </c>
      <c r="W115" s="224">
        <v>210</v>
      </c>
    </row>
    <row r="116" spans="1:23" ht="12.75">
      <c r="A116" s="344"/>
      <c r="B116" s="344"/>
      <c r="J116" s="230"/>
      <c r="K116" s="230"/>
      <c r="L116" s="230"/>
      <c r="M116" s="230"/>
      <c r="N116" s="230"/>
      <c r="O116" s="230"/>
      <c r="P116" s="230"/>
      <c r="Q116" s="230"/>
      <c r="R116" s="232" t="s">
        <v>237</v>
      </c>
      <c r="S116" s="224">
        <f>S114/S115</f>
        <v>0.01687024856923208</v>
      </c>
      <c r="T116" s="224">
        <f>T114/T115</f>
        <v>0.04057401554625437</v>
      </c>
      <c r="W116" s="224">
        <v>220</v>
      </c>
    </row>
    <row r="117" spans="1:23" ht="16.5" customHeight="1">
      <c r="A117" s="344"/>
      <c r="B117" s="344"/>
      <c r="C117" s="345">
        <f>IF($T$110=1,S118,T118)</f>
        <v>10.298700378071834</v>
      </c>
      <c r="D117" s="346" t="s">
        <v>175</v>
      </c>
      <c r="J117" s="230"/>
      <c r="K117" s="230"/>
      <c r="L117" s="230"/>
      <c r="M117" s="230"/>
      <c r="N117" s="230"/>
      <c r="O117" s="230"/>
      <c r="P117" s="230"/>
      <c r="Q117" s="230"/>
      <c r="R117" s="232" t="s">
        <v>176</v>
      </c>
      <c r="S117" s="224">
        <f>S115-0.5*S114</f>
        <v>126.17663043478261</v>
      </c>
      <c r="T117" s="224">
        <f>T115-0.5*T114</f>
        <v>124.66847826086956</v>
      </c>
      <c r="W117" s="224">
        <v>230</v>
      </c>
    </row>
    <row r="118" spans="10:23" ht="12.75">
      <c r="J118" s="230"/>
      <c r="K118" s="230"/>
      <c r="L118" s="230"/>
      <c r="M118" s="230"/>
      <c r="N118" s="230"/>
      <c r="O118" s="230"/>
      <c r="P118" s="230"/>
      <c r="Q118" s="230"/>
      <c r="R118" s="232" t="s">
        <v>238</v>
      </c>
      <c r="S118" s="224">
        <f>T111*F70*S117/1000/1000</f>
        <v>4.333892958412098</v>
      </c>
      <c r="T118" s="224">
        <f>T102*F70*T117/1000/1000</f>
        <v>10.298700378071834</v>
      </c>
      <c r="W118" s="224">
        <v>240</v>
      </c>
    </row>
    <row r="119" spans="2:23" ht="12.75">
      <c r="B119" s="347" t="str">
        <f>CONCATENATE("med = ",ROUND(H84*-1,2)," kNm ",IF(H84*-1&lt;=C117,"&lt; ","&gt; "),ROUND(C117,2)," kNm = mrd")</f>
        <v>med = 0 kNm &lt; 10,3 kNm = mrd</v>
      </c>
      <c r="C119" s="336"/>
      <c r="D119" s="336"/>
      <c r="J119" s="230"/>
      <c r="K119" s="230"/>
      <c r="L119" s="230"/>
      <c r="M119" s="230"/>
      <c r="N119" s="230"/>
      <c r="O119" s="230"/>
      <c r="P119" s="230"/>
      <c r="Q119" s="230"/>
      <c r="W119" s="224">
        <v>250</v>
      </c>
    </row>
    <row r="120" spans="3:23" ht="14.25">
      <c r="C120" s="348" t="str">
        <f>IF(H84*-1&lt;C117,"OK","Not satisfy!")</f>
        <v>OK</v>
      </c>
      <c r="J120" s="230"/>
      <c r="K120" s="230"/>
      <c r="L120" s="230"/>
      <c r="M120" s="230"/>
      <c r="N120" s="230"/>
      <c r="O120" s="230"/>
      <c r="P120" s="230"/>
      <c r="Q120" s="230"/>
      <c r="W120" s="224">
        <v>300</v>
      </c>
    </row>
    <row r="121" spans="10:17" ht="3" customHeight="1">
      <c r="J121" s="230"/>
      <c r="K121" s="230"/>
      <c r="L121" s="230"/>
      <c r="M121" s="230"/>
      <c r="N121" s="230"/>
      <c r="O121" s="230"/>
      <c r="P121" s="230"/>
      <c r="Q121" s="230"/>
    </row>
    <row r="122" spans="10:17" ht="12.75">
      <c r="J122" s="230"/>
      <c r="K122" s="230"/>
      <c r="L122" s="230"/>
      <c r="M122" s="230"/>
      <c r="N122" s="230"/>
      <c r="O122" s="230"/>
      <c r="P122" s="230"/>
      <c r="Q122" s="230"/>
    </row>
    <row r="123" spans="1:17" ht="18">
      <c r="A123" s="231" t="s">
        <v>349</v>
      </c>
      <c r="J123" s="230"/>
      <c r="K123" s="230"/>
      <c r="L123" s="230"/>
      <c r="M123" s="230"/>
      <c r="N123" s="230"/>
      <c r="O123" s="230"/>
      <c r="P123" s="230"/>
      <c r="Q123" s="230"/>
    </row>
    <row r="124" spans="3:17" ht="34.5" customHeight="1">
      <c r="C124" s="349">
        <f>H85*1000/(F70*C95/1000)</f>
        <v>0</v>
      </c>
      <c r="D124" s="333" t="s">
        <v>306</v>
      </c>
      <c r="J124" s="230"/>
      <c r="K124" s="230"/>
      <c r="L124" s="230"/>
      <c r="M124" s="230"/>
      <c r="N124" s="230"/>
      <c r="O124" s="230"/>
      <c r="P124" s="230"/>
      <c r="Q124" s="230"/>
    </row>
    <row r="125" spans="10:17" ht="12.75">
      <c r="J125" s="230"/>
      <c r="K125" s="230"/>
      <c r="L125" s="230"/>
      <c r="M125" s="230"/>
      <c r="N125" s="230"/>
      <c r="O125" s="230"/>
      <c r="P125" s="230"/>
      <c r="Q125" s="230"/>
    </row>
    <row r="126" spans="1:20" ht="12.75">
      <c r="A126" s="334" t="s">
        <v>347</v>
      </c>
      <c r="B126" s="334"/>
      <c r="J126" s="230"/>
      <c r="K126" s="230"/>
      <c r="L126" s="230"/>
      <c r="M126" s="230"/>
      <c r="N126" s="230"/>
      <c r="O126" s="230"/>
      <c r="P126" s="230"/>
      <c r="Q126" s="230"/>
      <c r="T126" s="224">
        <f>Tables!AX16</f>
        <v>5.5</v>
      </c>
    </row>
    <row r="127" spans="1:20" ht="12.75">
      <c r="A127" s="334"/>
      <c r="B127" s="334"/>
      <c r="C127" s="336" t="str">
        <f>CONCATENATE(T101," ",T126," every ",T127," (As= ",T128," mm2)")</f>
        <v>Ø 5,5 every 125 (As= 190 mm2)</v>
      </c>
      <c r="D127" s="336"/>
      <c r="E127" s="336"/>
      <c r="J127" s="230"/>
      <c r="K127" s="230"/>
      <c r="L127" s="230"/>
      <c r="M127" s="230"/>
      <c r="N127" s="230"/>
      <c r="O127" s="230"/>
      <c r="P127" s="230"/>
      <c r="Q127" s="230"/>
      <c r="T127" s="224">
        <f>Tables!AX17</f>
        <v>125</v>
      </c>
    </row>
    <row r="128" spans="1:20" ht="12.75" customHeight="1">
      <c r="A128" s="334" t="s">
        <v>348</v>
      </c>
      <c r="B128" s="334"/>
      <c r="J128" s="230"/>
      <c r="K128" s="230"/>
      <c r="L128" s="230"/>
      <c r="M128" s="230"/>
      <c r="N128" s="230"/>
      <c r="O128" s="230"/>
      <c r="P128" s="230"/>
      <c r="Q128" s="230"/>
      <c r="S128" s="232" t="s">
        <v>239</v>
      </c>
      <c r="T128" s="350">
        <f>Tables!AX15</f>
        <v>190</v>
      </c>
    </row>
    <row r="129" spans="1:20" ht="12.75">
      <c r="A129" s="334"/>
      <c r="B129" s="334"/>
      <c r="C129" s="173" t="s">
        <v>437</v>
      </c>
      <c r="E129" s="224" t="str">
        <f>IF(T129=1,CONCATENATE(T101," ",C131," po ",C132," (As,prov= ",T130," mm2)"),C127)</f>
        <v>Ø 5,5 every 125 (As= 190 mm2)</v>
      </c>
      <c r="J129" s="230"/>
      <c r="K129" s="230"/>
      <c r="L129" s="230"/>
      <c r="M129" s="230"/>
      <c r="N129" s="230"/>
      <c r="O129" s="230"/>
      <c r="P129" s="230"/>
      <c r="Q129" s="230"/>
      <c r="T129" s="224">
        <f>IF(C129=$T$108,1,2)</f>
        <v>2</v>
      </c>
    </row>
    <row r="130" spans="10:21" ht="12.75">
      <c r="J130" s="230"/>
      <c r="K130" s="230"/>
      <c r="L130" s="230"/>
      <c r="M130" s="230"/>
      <c r="N130" s="230"/>
      <c r="O130" s="230"/>
      <c r="P130" s="230"/>
      <c r="Q130" s="230"/>
      <c r="S130" s="232" t="s">
        <v>233</v>
      </c>
      <c r="T130" s="224">
        <f>LOOKUP(C132,Tables!X20:X52,Tables!AP20:AP52)</f>
        <v>95</v>
      </c>
      <c r="U130" s="232" t="s">
        <v>177</v>
      </c>
    </row>
    <row r="131" spans="2:17" ht="12.75">
      <c r="B131" s="338" t="s">
        <v>231</v>
      </c>
      <c r="C131" s="339">
        <v>5.5</v>
      </c>
      <c r="D131" s="232" t="s">
        <v>156</v>
      </c>
      <c r="J131" s="230"/>
      <c r="K131" s="230"/>
      <c r="L131" s="230"/>
      <c r="M131" s="230"/>
      <c r="N131" s="230"/>
      <c r="O131" s="230"/>
      <c r="P131" s="230"/>
      <c r="Q131" s="230"/>
    </row>
    <row r="132" spans="2:20" ht="12.75">
      <c r="B132" s="227" t="s">
        <v>232</v>
      </c>
      <c r="C132" s="339">
        <v>250</v>
      </c>
      <c r="D132" s="232" t="s">
        <v>156</v>
      </c>
      <c r="J132" s="230"/>
      <c r="K132" s="230"/>
      <c r="L132" s="230"/>
      <c r="M132" s="230"/>
      <c r="N132" s="230"/>
      <c r="O132" s="230"/>
      <c r="P132" s="230"/>
      <c r="Q132" s="230"/>
      <c r="S132" s="224">
        <v>1</v>
      </c>
      <c r="T132" s="224">
        <v>2</v>
      </c>
    </row>
    <row r="133" spans="10:20" ht="12.75">
      <c r="J133" s="230"/>
      <c r="K133" s="230"/>
      <c r="L133" s="230"/>
      <c r="M133" s="230"/>
      <c r="N133" s="230"/>
      <c r="O133" s="230"/>
      <c r="P133" s="230"/>
      <c r="Q133" s="230"/>
      <c r="R133" s="232" t="s">
        <v>236</v>
      </c>
      <c r="S133" s="224">
        <f>T130*F70/1000/0.8/C72</f>
        <v>2.5815217391304346</v>
      </c>
      <c r="T133" s="224">
        <f>T128*F70/1000/0.8/C72</f>
        <v>5.163043478260869</v>
      </c>
    </row>
    <row r="134" spans="3:20" ht="12.75">
      <c r="C134" s="340">
        <f>IF($T$129=1,S133,T133)</f>
        <v>5.163043478260869</v>
      </c>
      <c r="D134" s="232" t="s">
        <v>156</v>
      </c>
      <c r="J134" s="230"/>
      <c r="K134" s="230"/>
      <c r="L134" s="230"/>
      <c r="M134" s="230"/>
      <c r="N134" s="230"/>
      <c r="O134" s="230"/>
      <c r="P134" s="230"/>
      <c r="Q134" s="230"/>
      <c r="R134" s="232" t="s">
        <v>157</v>
      </c>
      <c r="S134" s="224">
        <f>B27-C58-C131/2</f>
        <v>127.25</v>
      </c>
      <c r="T134" s="224">
        <f>B27-C58-T126/2</f>
        <v>127.25</v>
      </c>
    </row>
    <row r="135" spans="3:20" ht="12.75">
      <c r="C135" s="294"/>
      <c r="J135" s="230"/>
      <c r="K135" s="230"/>
      <c r="L135" s="230"/>
      <c r="M135" s="230"/>
      <c r="N135" s="230"/>
      <c r="O135" s="230"/>
      <c r="P135" s="230"/>
      <c r="Q135" s="230"/>
      <c r="R135" s="232" t="s">
        <v>237</v>
      </c>
      <c r="S135" s="224">
        <f>S133/S134</f>
        <v>0.020287007773127187</v>
      </c>
      <c r="T135" s="224">
        <f>T133/T134</f>
        <v>0.04057401554625437</v>
      </c>
    </row>
    <row r="136" spans="3:20" ht="12.75">
      <c r="C136" s="341">
        <f>IF($T$129=1,S134,T134)</f>
        <v>127.25</v>
      </c>
      <c r="D136" s="232" t="s">
        <v>156</v>
      </c>
      <c r="J136" s="230"/>
      <c r="K136" s="230"/>
      <c r="L136" s="230"/>
      <c r="M136" s="230"/>
      <c r="N136" s="230"/>
      <c r="O136" s="230"/>
      <c r="P136" s="230"/>
      <c r="Q136" s="230"/>
      <c r="R136" s="232" t="s">
        <v>176</v>
      </c>
      <c r="S136" s="224">
        <f>S134-0.5*S133</f>
        <v>125.95923913043478</v>
      </c>
      <c r="T136" s="224">
        <f>T134-0.5*T133</f>
        <v>124.66847826086956</v>
      </c>
    </row>
    <row r="137" spans="3:20" ht="15.75">
      <c r="C137" s="294"/>
      <c r="J137" s="230"/>
      <c r="K137" s="230"/>
      <c r="L137" s="230"/>
      <c r="M137" s="230"/>
      <c r="N137" s="230"/>
      <c r="O137" s="230"/>
      <c r="P137" s="230"/>
      <c r="Q137" s="230"/>
      <c r="R137" s="232" t="s">
        <v>252</v>
      </c>
      <c r="S137" s="224">
        <f>T130*F70*S136/1000/1000</f>
        <v>5.202664224952741</v>
      </c>
      <c r="T137" s="224">
        <f>T128*F70*T136/1000/1000</f>
        <v>10.298700378071834</v>
      </c>
    </row>
    <row r="138" spans="3:17" ht="12.75">
      <c r="C138" s="342">
        <f>IF($T$129=1,S135,T135)</f>
        <v>0.04057401554625437</v>
      </c>
      <c r="D138" s="232" t="s">
        <v>223</v>
      </c>
      <c r="E138" s="224" t="str">
        <f>CONCATENATE(T140," ","0,45 = ",S140)</f>
        <v>&lt; 0,45 = ξ bal</v>
      </c>
      <c r="J138" s="230"/>
      <c r="K138" s="230"/>
      <c r="L138" s="230"/>
      <c r="M138" s="230"/>
      <c r="N138" s="230"/>
      <c r="O138" s="230"/>
      <c r="P138" s="230"/>
      <c r="Q138" s="230"/>
    </row>
    <row r="139" spans="3:17" ht="15">
      <c r="C139" s="294"/>
      <c r="E139" s="343">
        <f>IF(C138&lt;0.45,"","Nutno změnit geometrii stropu")</f>
      </c>
      <c r="J139" s="230"/>
      <c r="K139" s="230"/>
      <c r="L139" s="230"/>
      <c r="M139" s="230"/>
      <c r="N139" s="230"/>
      <c r="O139" s="230"/>
      <c r="P139" s="230"/>
      <c r="Q139" s="230"/>
    </row>
    <row r="140" spans="3:20" ht="14.25">
      <c r="C140" s="341">
        <f>IF($T$129=1,S136,T136)</f>
        <v>124.66847826086956</v>
      </c>
      <c r="D140" s="232" t="s">
        <v>156</v>
      </c>
      <c r="J140" s="230"/>
      <c r="K140" s="230"/>
      <c r="L140" s="230"/>
      <c r="M140" s="230"/>
      <c r="N140" s="230"/>
      <c r="O140" s="230"/>
      <c r="P140" s="230"/>
      <c r="Q140" s="230"/>
      <c r="S140" s="335" t="s">
        <v>307</v>
      </c>
      <c r="T140" s="224" t="str">
        <f>IF(C138&lt;0.45,"&lt;","&gt;")</f>
        <v>&lt;</v>
      </c>
    </row>
    <row r="141" spans="1:20" ht="12.75">
      <c r="A141" s="344"/>
      <c r="B141" s="344"/>
      <c r="J141" s="230"/>
      <c r="K141" s="230"/>
      <c r="L141" s="230"/>
      <c r="M141" s="230"/>
      <c r="N141" s="230"/>
      <c r="O141" s="230"/>
      <c r="P141" s="230"/>
      <c r="Q141" s="230"/>
      <c r="T141" s="224" t="str">
        <f>IF(C113&lt;0.45,"&lt;","&gt;")</f>
        <v>&lt;</v>
      </c>
    </row>
    <row r="142" spans="1:17" ht="18.75" customHeight="1">
      <c r="A142" s="344"/>
      <c r="B142" s="344"/>
      <c r="C142" s="345">
        <f>IF($T$129=1,S137,T137)</f>
        <v>10.298700378071834</v>
      </c>
      <c r="D142" s="346" t="s">
        <v>175</v>
      </c>
      <c r="J142" s="230"/>
      <c r="K142" s="230"/>
      <c r="L142" s="230"/>
      <c r="M142" s="230"/>
      <c r="N142" s="230"/>
      <c r="O142" s="230"/>
      <c r="P142" s="230"/>
      <c r="Q142" s="230"/>
    </row>
    <row r="143" spans="10:17" ht="5.25" customHeight="1">
      <c r="J143" s="230"/>
      <c r="K143" s="230"/>
      <c r="L143" s="230"/>
      <c r="M143" s="230"/>
      <c r="N143" s="230"/>
      <c r="O143" s="230"/>
      <c r="P143" s="230"/>
      <c r="Q143" s="230"/>
    </row>
    <row r="144" spans="2:17" ht="12.75">
      <c r="B144" s="347" t="str">
        <f>CONCATENATE("med = ",ROUND(H85,2)," kNm ",IF(H85*-1&lt;=C142,"&lt; ","&gt; "),ROUND(C142,2)," kNm = mrd")</f>
        <v>med = 0 kNm &lt; 10,3 kNm = mrd</v>
      </c>
      <c r="C144" s="347"/>
      <c r="D144" s="336"/>
      <c r="J144" s="230"/>
      <c r="K144" s="230"/>
      <c r="L144" s="230"/>
      <c r="M144" s="230"/>
      <c r="N144" s="230"/>
      <c r="O144" s="230"/>
      <c r="P144" s="230"/>
      <c r="Q144" s="230"/>
    </row>
    <row r="145" spans="3:17" ht="14.25">
      <c r="C145" s="348" t="str">
        <f>IF(H85&lt;C142,"OK","Not satisfy!")</f>
        <v>OK</v>
      </c>
      <c r="J145" s="230"/>
      <c r="K145" s="230"/>
      <c r="L145" s="230"/>
      <c r="M145" s="230"/>
      <c r="N145" s="230"/>
      <c r="O145" s="230"/>
      <c r="P145" s="230"/>
      <c r="Q145" s="230"/>
    </row>
    <row r="146" spans="10:17" ht="12.75">
      <c r="J146" s="230"/>
      <c r="K146" s="230"/>
      <c r="L146" s="230"/>
      <c r="M146" s="230"/>
      <c r="N146" s="230"/>
      <c r="O146" s="230"/>
      <c r="P146" s="230"/>
      <c r="Q146" s="230"/>
    </row>
    <row r="147" spans="1:17" ht="18">
      <c r="A147" s="231" t="s">
        <v>350</v>
      </c>
      <c r="J147" s="230"/>
      <c r="K147" s="230"/>
      <c r="L147" s="230"/>
      <c r="M147" s="230"/>
      <c r="N147" s="230"/>
      <c r="O147" s="230"/>
      <c r="P147" s="230"/>
      <c r="Q147" s="230"/>
    </row>
    <row r="148" spans="10:17" ht="12.75">
      <c r="J148" s="230"/>
      <c r="K148" s="230"/>
      <c r="L148" s="230"/>
      <c r="M148" s="230"/>
      <c r="N148" s="230"/>
      <c r="O148" s="230"/>
      <c r="P148" s="230"/>
      <c r="Q148" s="230"/>
    </row>
    <row r="149" spans="2:17" ht="19.5">
      <c r="B149" s="350">
        <f>B10*1000/C136</f>
        <v>0</v>
      </c>
      <c r="C149" s="294" t="e">
        <f>IF(B149&lt;D149,"&lt;","&gt;")</f>
        <v>#DIV/0!</v>
      </c>
      <c r="D149" s="351" t="e">
        <f>C152*C153*C154*C155</f>
        <v>#DIV/0!</v>
      </c>
      <c r="E149" s="352" t="s">
        <v>308</v>
      </c>
      <c r="J149" s="230"/>
      <c r="K149" s="230"/>
      <c r="L149" s="230"/>
      <c r="M149" s="230"/>
      <c r="N149" s="230"/>
      <c r="O149" s="230"/>
      <c r="P149" s="230"/>
      <c r="Q149" s="230"/>
    </row>
    <row r="150" spans="3:17" ht="14.25">
      <c r="C150" s="348" t="e">
        <f>IF(B149&lt;D149,"OK","Not satisfy!")</f>
        <v>#DIV/0!</v>
      </c>
      <c r="J150" s="230"/>
      <c r="K150" s="230"/>
      <c r="L150" s="230"/>
      <c r="M150" s="230"/>
      <c r="N150" s="230"/>
      <c r="O150" s="230"/>
      <c r="P150" s="230"/>
      <c r="Q150" s="230"/>
    </row>
    <row r="151" spans="3:17" ht="12.75">
      <c r="C151" s="294"/>
      <c r="J151" s="230"/>
      <c r="K151" s="230"/>
      <c r="L151" s="230"/>
      <c r="M151" s="230"/>
      <c r="N151" s="230"/>
      <c r="O151" s="230"/>
      <c r="P151" s="230"/>
      <c r="Q151" s="230"/>
    </row>
    <row r="152" spans="2:17" ht="13.5" customHeight="1">
      <c r="B152" s="353" t="s">
        <v>240</v>
      </c>
      <c r="C152" s="340">
        <v>1</v>
      </c>
      <c r="J152" s="230"/>
      <c r="K152" s="230"/>
      <c r="L152" s="230"/>
      <c r="M152" s="230"/>
      <c r="N152" s="230"/>
      <c r="O152" s="230"/>
      <c r="P152" s="230"/>
      <c r="Q152" s="230"/>
    </row>
    <row r="153" spans="2:17" ht="13.5" customHeight="1">
      <c r="B153" s="353" t="s">
        <v>241</v>
      </c>
      <c r="C153" s="340">
        <v>1</v>
      </c>
      <c r="J153" s="230"/>
      <c r="K153" s="230"/>
      <c r="L153" s="230"/>
      <c r="M153" s="230"/>
      <c r="N153" s="230"/>
      <c r="O153" s="230"/>
      <c r="P153" s="230"/>
      <c r="Q153" s="230"/>
    </row>
    <row r="154" spans="2:17" ht="13.5" customHeight="1">
      <c r="B154" s="353" t="s">
        <v>240</v>
      </c>
      <c r="C154" s="340" t="e">
        <f>500/F63*IF(T129=1,T130,T128)/C124</f>
        <v>#DIV/0!</v>
      </c>
      <c r="J154" s="230"/>
      <c r="K154" s="230"/>
      <c r="L154" s="230"/>
      <c r="M154" s="230"/>
      <c r="N154" s="230"/>
      <c r="O154" s="230"/>
      <c r="P154" s="230"/>
      <c r="Q154" s="230"/>
    </row>
    <row r="155" spans="2:17" ht="12.75">
      <c r="B155" s="338" t="s">
        <v>245</v>
      </c>
      <c r="C155" s="294">
        <f>Tables!AB85</f>
        <v>30.8</v>
      </c>
      <c r="J155" s="230"/>
      <c r="K155" s="230"/>
      <c r="L155" s="230"/>
      <c r="M155" s="230"/>
      <c r="N155" s="230"/>
      <c r="O155" s="230"/>
      <c r="P155" s="230"/>
      <c r="Q155" s="230"/>
    </row>
    <row r="156" spans="10:17" ht="12.75">
      <c r="J156" s="230"/>
      <c r="K156" s="230"/>
      <c r="L156" s="230"/>
      <c r="M156" s="230"/>
      <c r="N156" s="230"/>
      <c r="O156" s="230"/>
      <c r="P156" s="230"/>
      <c r="Q156" s="230"/>
    </row>
    <row r="157" spans="10:17" ht="12.75">
      <c r="J157" s="230"/>
      <c r="K157" s="230"/>
      <c r="L157" s="230"/>
      <c r="M157" s="230"/>
      <c r="N157" s="230"/>
      <c r="O157" s="230"/>
      <c r="P157" s="230"/>
      <c r="Q157" s="230"/>
    </row>
    <row r="158" spans="1:17" ht="20.25">
      <c r="A158" s="228" t="s">
        <v>351</v>
      </c>
      <c r="J158" s="230"/>
      <c r="K158" s="230"/>
      <c r="L158" s="230"/>
      <c r="M158" s="230"/>
      <c r="N158" s="230"/>
      <c r="O158" s="230"/>
      <c r="P158" s="230"/>
      <c r="Q158" s="230"/>
    </row>
    <row r="159" spans="1:17" ht="18">
      <c r="A159" s="231" t="s">
        <v>352</v>
      </c>
      <c r="J159" s="230"/>
      <c r="K159" s="230"/>
      <c r="L159" s="230"/>
      <c r="M159" s="230"/>
      <c r="N159" s="230"/>
      <c r="O159" s="230"/>
      <c r="P159" s="230"/>
      <c r="Q159" s="230"/>
    </row>
    <row r="160" spans="10:17" ht="12.75">
      <c r="J160" s="230"/>
      <c r="K160" s="230"/>
      <c r="L160" s="230"/>
      <c r="M160" s="230"/>
      <c r="N160" s="230"/>
      <c r="O160" s="230"/>
      <c r="P160" s="230"/>
      <c r="Q160" s="230"/>
    </row>
    <row r="161" spans="1:17" ht="12.75">
      <c r="A161" s="232"/>
      <c r="C161" s="227" t="s">
        <v>353</v>
      </c>
      <c r="D161" s="178">
        <v>25</v>
      </c>
      <c r="E161" s="232" t="s">
        <v>156</v>
      </c>
      <c r="J161" s="230"/>
      <c r="K161" s="230"/>
      <c r="L161" s="230"/>
      <c r="M161" s="230"/>
      <c r="N161" s="230"/>
      <c r="O161" s="230"/>
      <c r="P161" s="230"/>
      <c r="Q161" s="230"/>
    </row>
    <row r="162" spans="1:17" ht="12.75">
      <c r="A162" s="232"/>
      <c r="C162" s="227" t="s">
        <v>354</v>
      </c>
      <c r="D162" s="178">
        <v>8</v>
      </c>
      <c r="E162" s="232" t="s">
        <v>156</v>
      </c>
      <c r="J162" s="230"/>
      <c r="K162" s="230"/>
      <c r="L162" s="230"/>
      <c r="M162" s="230"/>
      <c r="N162" s="230"/>
      <c r="O162" s="230"/>
      <c r="P162" s="230"/>
      <c r="Q162" s="230"/>
    </row>
    <row r="163" spans="10:17" ht="12.75">
      <c r="J163" s="230"/>
      <c r="K163" s="230"/>
      <c r="L163" s="230"/>
      <c r="M163" s="230"/>
      <c r="N163" s="230"/>
      <c r="O163" s="230"/>
      <c r="P163" s="230"/>
      <c r="Q163" s="230"/>
    </row>
    <row r="164" spans="1:17" ht="12.75">
      <c r="A164" s="354" t="s">
        <v>355</v>
      </c>
      <c r="B164" s="354"/>
      <c r="C164" s="354"/>
      <c r="E164" s="354" t="s">
        <v>356</v>
      </c>
      <c r="F164" s="354"/>
      <c r="G164" s="354"/>
      <c r="J164" s="230"/>
      <c r="K164" s="230"/>
      <c r="L164" s="230"/>
      <c r="M164" s="230"/>
      <c r="N164" s="230"/>
      <c r="O164" s="230"/>
      <c r="P164" s="230"/>
      <c r="Q164" s="230"/>
    </row>
    <row r="165" spans="1:17" ht="15.75">
      <c r="A165" s="302" t="s">
        <v>290</v>
      </c>
      <c r="B165" s="303">
        <f>LOOKUP(Tables!AH4,Tables!H3:H8,Tables!AJ3:AJ8)</f>
        <v>15</v>
      </c>
      <c r="C165" s="301" t="s">
        <v>156</v>
      </c>
      <c r="D165" s="232"/>
      <c r="E165" s="302" t="s">
        <v>290</v>
      </c>
      <c r="F165" s="303">
        <f>LOOKUP(Tables!AL4,Tables!H3:H8,Tables!AN3:AN8)</f>
        <v>15</v>
      </c>
      <c r="G165" s="301" t="s">
        <v>156</v>
      </c>
      <c r="J165" s="230"/>
      <c r="K165" s="230"/>
      <c r="L165" s="230"/>
      <c r="M165" s="230"/>
      <c r="N165" s="230"/>
      <c r="O165" s="230"/>
      <c r="P165" s="230"/>
      <c r="Q165" s="230"/>
    </row>
    <row r="166" spans="1:17" ht="15.75">
      <c r="A166" s="302" t="s">
        <v>291</v>
      </c>
      <c r="B166" s="172">
        <v>0</v>
      </c>
      <c r="C166" s="301" t="s">
        <v>156</v>
      </c>
      <c r="D166" s="232"/>
      <c r="E166" s="302" t="s">
        <v>291</v>
      </c>
      <c r="F166" s="172">
        <v>0</v>
      </c>
      <c r="G166" s="301" t="s">
        <v>156</v>
      </c>
      <c r="J166" s="230"/>
      <c r="K166" s="230"/>
      <c r="L166" s="230"/>
      <c r="M166" s="230"/>
      <c r="N166" s="230"/>
      <c r="O166" s="230"/>
      <c r="P166" s="230"/>
      <c r="Q166" s="230"/>
    </row>
    <row r="167" spans="1:17" ht="15.75">
      <c r="A167" s="227" t="s">
        <v>292</v>
      </c>
      <c r="B167" s="172">
        <v>0</v>
      </c>
      <c r="C167" s="301" t="s">
        <v>156</v>
      </c>
      <c r="D167" s="232"/>
      <c r="E167" s="227" t="s">
        <v>292</v>
      </c>
      <c r="F167" s="172">
        <v>0</v>
      </c>
      <c r="G167" s="301" t="s">
        <v>156</v>
      </c>
      <c r="J167" s="230"/>
      <c r="K167" s="230"/>
      <c r="L167" s="230"/>
      <c r="M167" s="230"/>
      <c r="N167" s="230"/>
      <c r="O167" s="230"/>
      <c r="P167" s="230"/>
      <c r="Q167" s="230"/>
    </row>
    <row r="168" spans="1:17" ht="15.75">
      <c r="A168" s="227" t="s">
        <v>293</v>
      </c>
      <c r="B168" s="172">
        <v>0</v>
      </c>
      <c r="C168" s="301" t="s">
        <v>156</v>
      </c>
      <c r="D168" s="232"/>
      <c r="E168" s="227" t="s">
        <v>293</v>
      </c>
      <c r="F168" s="172">
        <v>0</v>
      </c>
      <c r="G168" s="301" t="s">
        <v>156</v>
      </c>
      <c r="J168" s="230"/>
      <c r="K168" s="230"/>
      <c r="L168" s="230"/>
      <c r="M168" s="230"/>
      <c r="N168" s="230"/>
      <c r="O168" s="230"/>
      <c r="P168" s="230"/>
      <c r="Q168" s="230"/>
    </row>
    <row r="169" spans="1:17" ht="15.75">
      <c r="A169" s="302" t="s">
        <v>294</v>
      </c>
      <c r="B169" s="303">
        <f>MAX(D161,B165+B166-B167-B168,10)</f>
        <v>25</v>
      </c>
      <c r="C169" s="301" t="s">
        <v>156</v>
      </c>
      <c r="D169" s="232"/>
      <c r="E169" s="302" t="s">
        <v>294</v>
      </c>
      <c r="F169" s="303">
        <f>MAX(D162,F165+F166-F167-F168,10)</f>
        <v>15</v>
      </c>
      <c r="G169" s="301" t="s">
        <v>156</v>
      </c>
      <c r="J169" s="230"/>
      <c r="K169" s="230"/>
      <c r="L169" s="230"/>
      <c r="M169" s="230"/>
      <c r="N169" s="230"/>
      <c r="O169" s="230"/>
      <c r="P169" s="230"/>
      <c r="Q169" s="230"/>
    </row>
    <row r="170" spans="1:17" ht="14.25">
      <c r="A170" s="355" t="s">
        <v>309</v>
      </c>
      <c r="B170" s="178">
        <v>10</v>
      </c>
      <c r="C170" s="305" t="s">
        <v>156</v>
      </c>
      <c r="E170" s="355" t="s">
        <v>309</v>
      </c>
      <c r="F170" s="178">
        <v>10</v>
      </c>
      <c r="G170" s="305" t="s">
        <v>156</v>
      </c>
      <c r="J170" s="230"/>
      <c r="K170" s="230"/>
      <c r="L170" s="230"/>
      <c r="M170" s="230"/>
      <c r="N170" s="230"/>
      <c r="O170" s="230"/>
      <c r="P170" s="230"/>
      <c r="Q170" s="230"/>
    </row>
    <row r="171" spans="1:17" ht="15.75">
      <c r="A171" s="307" t="s">
        <v>301</v>
      </c>
      <c r="B171" s="308">
        <f>IF((B169+B170)&gt;(F171+D162),(B169+B170),(F171+D162))</f>
        <v>35</v>
      </c>
      <c r="C171" s="309" t="s">
        <v>156</v>
      </c>
      <c r="D171" s="306"/>
      <c r="E171" s="307" t="s">
        <v>301</v>
      </c>
      <c r="F171" s="308">
        <f>CEILING(F169+F170,5)</f>
        <v>25</v>
      </c>
      <c r="G171" s="309" t="s">
        <v>156</v>
      </c>
      <c r="J171" s="230"/>
      <c r="K171" s="230"/>
      <c r="L171" s="230"/>
      <c r="M171" s="230"/>
      <c r="N171" s="230"/>
      <c r="O171" s="230"/>
      <c r="P171" s="230"/>
      <c r="Q171" s="230"/>
    </row>
    <row r="172" spans="10:17" ht="12.75">
      <c r="J172" s="230"/>
      <c r="K172" s="230"/>
      <c r="L172" s="230"/>
      <c r="M172" s="230"/>
      <c r="N172" s="230"/>
      <c r="O172" s="230"/>
      <c r="P172" s="230"/>
      <c r="Q172" s="230"/>
    </row>
    <row r="173" spans="10:17" ht="12.75">
      <c r="J173" s="230"/>
      <c r="K173" s="230"/>
      <c r="L173" s="230"/>
      <c r="M173" s="230"/>
      <c r="N173" s="230"/>
      <c r="O173" s="230"/>
      <c r="P173" s="230"/>
      <c r="Q173" s="230"/>
    </row>
    <row r="174" spans="1:17" ht="18">
      <c r="A174" s="231" t="s">
        <v>357</v>
      </c>
      <c r="J174" s="230"/>
      <c r="K174" s="230"/>
      <c r="L174" s="230"/>
      <c r="M174" s="230"/>
      <c r="N174" s="230"/>
      <c r="O174" s="230"/>
      <c r="P174" s="230"/>
      <c r="Q174" s="230"/>
    </row>
    <row r="175" spans="5:17" ht="12.75">
      <c r="E175" s="232" t="s">
        <v>358</v>
      </c>
      <c r="J175" s="230"/>
      <c r="K175" s="230"/>
      <c r="L175" s="230"/>
      <c r="M175" s="230"/>
      <c r="N175" s="230"/>
      <c r="O175" s="230"/>
      <c r="P175" s="230"/>
      <c r="Q175" s="230"/>
    </row>
    <row r="176" spans="5:17" ht="12.75">
      <c r="E176" s="356" t="s">
        <v>246</v>
      </c>
      <c r="F176" s="357">
        <f>G44*B10+(B20/1000*B21/1000*1.35)</f>
        <v>0.118125</v>
      </c>
      <c r="G176" s="356" t="s">
        <v>247</v>
      </c>
      <c r="J176" s="230"/>
      <c r="K176" s="230"/>
      <c r="L176" s="230"/>
      <c r="M176" s="230"/>
      <c r="N176" s="230"/>
      <c r="O176" s="230"/>
      <c r="P176" s="230"/>
      <c r="Q176" s="230"/>
    </row>
    <row r="177" spans="10:17" ht="12.75">
      <c r="J177" s="230"/>
      <c r="K177" s="230"/>
      <c r="L177" s="230"/>
      <c r="M177" s="230"/>
      <c r="N177" s="230"/>
      <c r="O177" s="230"/>
      <c r="P177" s="230"/>
      <c r="Q177" s="230"/>
    </row>
    <row r="178" spans="10:17" ht="12.75">
      <c r="J178" s="230"/>
      <c r="K178" s="230"/>
      <c r="L178" s="230"/>
      <c r="M178" s="230"/>
      <c r="N178" s="230"/>
      <c r="O178" s="230"/>
      <c r="P178" s="230"/>
      <c r="Q178" s="230"/>
    </row>
    <row r="179" spans="5:17" ht="15.75">
      <c r="E179" s="227" t="s">
        <v>310</v>
      </c>
      <c r="F179" s="357">
        <f>1/8*F176*B11*B11</f>
        <v>0.44666015625</v>
      </c>
      <c r="G179" s="232" t="s">
        <v>175</v>
      </c>
      <c r="J179" s="230"/>
      <c r="K179" s="230"/>
      <c r="L179" s="230"/>
      <c r="M179" s="230"/>
      <c r="N179" s="230"/>
      <c r="O179" s="230"/>
      <c r="P179" s="230"/>
      <c r="Q179" s="230"/>
    </row>
    <row r="180" spans="5:17" ht="15.75">
      <c r="E180" s="227" t="s">
        <v>311</v>
      </c>
      <c r="F180" s="357">
        <f>0.5*F176*B11</f>
        <v>0.32484375</v>
      </c>
      <c r="G180" s="232" t="s">
        <v>248</v>
      </c>
      <c r="J180" s="230"/>
      <c r="K180" s="230"/>
      <c r="L180" s="230"/>
      <c r="M180" s="230"/>
      <c r="N180" s="230"/>
      <c r="O180" s="230"/>
      <c r="P180" s="230"/>
      <c r="Q180" s="230"/>
    </row>
    <row r="181" spans="10:17" ht="12.75">
      <c r="J181" s="230"/>
      <c r="K181" s="230"/>
      <c r="L181" s="230"/>
      <c r="M181" s="230"/>
      <c r="N181" s="230"/>
      <c r="O181" s="230"/>
      <c r="P181" s="230"/>
      <c r="Q181" s="230"/>
    </row>
    <row r="182" spans="10:17" ht="12.75">
      <c r="J182" s="230"/>
      <c r="K182" s="230"/>
      <c r="L182" s="230"/>
      <c r="M182" s="230"/>
      <c r="N182" s="230"/>
      <c r="O182" s="230"/>
      <c r="P182" s="230"/>
      <c r="Q182" s="230"/>
    </row>
    <row r="183" spans="10:17" ht="12.75">
      <c r="J183" s="230"/>
      <c r="K183" s="230"/>
      <c r="L183" s="230"/>
      <c r="M183" s="230"/>
      <c r="N183" s="230"/>
      <c r="O183" s="230"/>
      <c r="P183" s="230"/>
      <c r="Q183" s="230"/>
    </row>
    <row r="184" spans="10:17" ht="12.75">
      <c r="J184" s="230"/>
      <c r="K184" s="230"/>
      <c r="L184" s="230"/>
      <c r="M184" s="230"/>
      <c r="N184" s="230"/>
      <c r="O184" s="230"/>
      <c r="P184" s="230"/>
      <c r="Q184" s="230"/>
    </row>
    <row r="185" spans="10:17" ht="12.75">
      <c r="J185" s="230"/>
      <c r="K185" s="230"/>
      <c r="L185" s="230"/>
      <c r="M185" s="230"/>
      <c r="N185" s="230"/>
      <c r="O185" s="230"/>
      <c r="P185" s="230"/>
      <c r="Q185" s="230"/>
    </row>
    <row r="186" spans="10:17" ht="12.75">
      <c r="J186" s="230"/>
      <c r="K186" s="230"/>
      <c r="L186" s="230"/>
      <c r="M186" s="230"/>
      <c r="N186" s="230"/>
      <c r="O186" s="230"/>
      <c r="P186" s="230"/>
      <c r="Q186" s="230"/>
    </row>
    <row r="187" spans="10:17" ht="12.75">
      <c r="J187" s="230"/>
      <c r="K187" s="230"/>
      <c r="L187" s="230"/>
      <c r="M187" s="230"/>
      <c r="N187" s="230"/>
      <c r="O187" s="230"/>
      <c r="P187" s="230"/>
      <c r="Q187" s="230"/>
    </row>
    <row r="188" spans="10:17" ht="12.75">
      <c r="J188" s="230"/>
      <c r="K188" s="230"/>
      <c r="L188" s="230"/>
      <c r="M188" s="230"/>
      <c r="N188" s="230"/>
      <c r="O188" s="230"/>
      <c r="P188" s="230"/>
      <c r="Q188" s="230"/>
    </row>
    <row r="189" spans="10:20" ht="12.75">
      <c r="J189" s="230"/>
      <c r="K189" s="230"/>
      <c r="L189" s="230"/>
      <c r="M189" s="230"/>
      <c r="N189" s="230"/>
      <c r="O189" s="230"/>
      <c r="P189" s="230"/>
      <c r="Q189" s="230"/>
      <c r="T189" s="232" t="s">
        <v>438</v>
      </c>
    </row>
    <row r="190" spans="10:23" ht="12.75">
      <c r="J190" s="230"/>
      <c r="K190" s="230"/>
      <c r="L190" s="230"/>
      <c r="M190" s="230"/>
      <c r="N190" s="230"/>
      <c r="O190" s="230"/>
      <c r="P190" s="230"/>
      <c r="Q190" s="230"/>
      <c r="S190" s="232" t="s">
        <v>260</v>
      </c>
      <c r="T190" s="224">
        <f>FLOOR((B21-B171*2+T191)/(D161+T191),1)</f>
        <v>3</v>
      </c>
      <c r="W190" s="224">
        <v>2</v>
      </c>
    </row>
    <row r="191" spans="10:23" ht="48" customHeight="1">
      <c r="J191" s="230"/>
      <c r="K191" s="230"/>
      <c r="L191" s="230"/>
      <c r="M191" s="230"/>
      <c r="N191" s="230"/>
      <c r="O191" s="230"/>
      <c r="P191" s="230"/>
      <c r="Q191" s="230"/>
      <c r="S191" s="232" t="s">
        <v>261</v>
      </c>
      <c r="T191" s="224">
        <f>MAX(D161*1.2,C62+5,20)</f>
        <v>30</v>
      </c>
      <c r="W191" s="224">
        <v>3</v>
      </c>
    </row>
    <row r="192" spans="10:23" ht="14.25" customHeight="1">
      <c r="J192" s="230"/>
      <c r="K192" s="230"/>
      <c r="L192" s="230"/>
      <c r="M192" s="230"/>
      <c r="N192" s="230"/>
      <c r="O192" s="230"/>
      <c r="P192" s="230"/>
      <c r="Q192" s="230"/>
      <c r="W192" s="224">
        <v>4</v>
      </c>
    </row>
    <row r="193" spans="1:23" ht="18">
      <c r="A193" s="231" t="s">
        <v>359</v>
      </c>
      <c r="J193" s="230"/>
      <c r="K193" s="230"/>
      <c r="L193" s="230"/>
      <c r="M193" s="230"/>
      <c r="N193" s="230"/>
      <c r="O193" s="230"/>
      <c r="P193" s="230"/>
      <c r="Q193" s="230"/>
      <c r="T193" s="224">
        <f>Tables!AF96</f>
        <v>5.5</v>
      </c>
      <c r="W193" s="224">
        <v>5</v>
      </c>
    </row>
    <row r="194" spans="10:23" ht="12.75">
      <c r="J194" s="230"/>
      <c r="K194" s="230"/>
      <c r="L194" s="230"/>
      <c r="M194" s="230"/>
      <c r="N194" s="230"/>
      <c r="O194" s="230"/>
      <c r="P194" s="230"/>
      <c r="Q194" s="230"/>
      <c r="T194" s="224">
        <f>Tables!AI95</f>
        <v>1</v>
      </c>
      <c r="W194" s="224">
        <v>6</v>
      </c>
    </row>
    <row r="195" spans="1:23" ht="12.75">
      <c r="A195" s="232" t="s">
        <v>345</v>
      </c>
      <c r="J195" s="230"/>
      <c r="K195" s="230"/>
      <c r="L195" s="230"/>
      <c r="M195" s="230"/>
      <c r="N195" s="230"/>
      <c r="O195" s="230"/>
      <c r="P195" s="230"/>
      <c r="Q195" s="230"/>
      <c r="S195" s="232" t="s">
        <v>239</v>
      </c>
      <c r="T195" s="350">
        <f>Tables!AF95</f>
        <v>23.8</v>
      </c>
      <c r="W195" s="224">
        <v>7</v>
      </c>
    </row>
    <row r="196" spans="2:23" ht="12.75">
      <c r="B196" s="232" t="s">
        <v>176</v>
      </c>
      <c r="C196" s="294">
        <f>0.9*(B20+B27-D162-B171-D161/2)</f>
        <v>400.05</v>
      </c>
      <c r="D196" s="232" t="s">
        <v>156</v>
      </c>
      <c r="J196" s="230"/>
      <c r="K196" s="230"/>
      <c r="L196" s="230"/>
      <c r="M196" s="230"/>
      <c r="N196" s="230"/>
      <c r="O196" s="230"/>
      <c r="P196" s="230"/>
      <c r="Q196" s="230"/>
      <c r="T196" s="358">
        <f>IF(C203=$T$108,1,2)</f>
        <v>1</v>
      </c>
      <c r="W196" s="224">
        <v>8</v>
      </c>
    </row>
    <row r="197" spans="1:23" ht="5.25" customHeight="1">
      <c r="A197" s="232"/>
      <c r="J197" s="230"/>
      <c r="K197" s="230"/>
      <c r="L197" s="230"/>
      <c r="M197" s="230"/>
      <c r="N197" s="230"/>
      <c r="O197" s="230"/>
      <c r="P197" s="230"/>
      <c r="Q197" s="230"/>
      <c r="S197" s="232" t="s">
        <v>233</v>
      </c>
      <c r="T197" s="224">
        <f>LOOKUP(C205,Tables!Z100:Z117,Tables!Y100:Y117)</f>
        <v>1140</v>
      </c>
      <c r="W197" s="224">
        <v>9</v>
      </c>
    </row>
    <row r="198" spans="10:23" ht="12.75">
      <c r="J198" s="230"/>
      <c r="K198" s="230"/>
      <c r="L198" s="230"/>
      <c r="M198" s="230"/>
      <c r="N198" s="230"/>
      <c r="O198" s="230"/>
      <c r="P198" s="230"/>
      <c r="Q198" s="230"/>
      <c r="W198" s="224">
        <v>10</v>
      </c>
    </row>
    <row r="199" spans="3:20" ht="12.75">
      <c r="C199" s="351">
        <f>F179*1000/(F70*C196/1000)</f>
        <v>2.5679749015748032</v>
      </c>
      <c r="D199" s="232" t="s">
        <v>177</v>
      </c>
      <c r="J199" s="230"/>
      <c r="K199" s="230"/>
      <c r="L199" s="230"/>
      <c r="M199" s="230"/>
      <c r="N199" s="230"/>
      <c r="O199" s="230"/>
      <c r="P199" s="230"/>
      <c r="Q199" s="230"/>
      <c r="S199" s="224">
        <v>1</v>
      </c>
      <c r="T199" s="224">
        <v>2</v>
      </c>
    </row>
    <row r="200" spans="1:20" ht="31.5" customHeight="1">
      <c r="A200" s="359" t="s">
        <v>347</v>
      </c>
      <c r="B200" s="359"/>
      <c r="J200" s="230"/>
      <c r="K200" s="230"/>
      <c r="L200" s="230"/>
      <c r="M200" s="230"/>
      <c r="N200" s="230"/>
      <c r="O200" s="230"/>
      <c r="P200" s="230"/>
      <c r="Q200" s="230"/>
      <c r="R200" s="232" t="s">
        <v>236</v>
      </c>
      <c r="S200" s="224">
        <f>T197*F70/B21/0.8/C72</f>
        <v>123.91304347826087</v>
      </c>
      <c r="T200" s="224">
        <f>T195*F70/B21/0.8/C72</f>
        <v>2.58695652173913</v>
      </c>
    </row>
    <row r="201" spans="1:20" ht="12.75">
      <c r="A201" s="359"/>
      <c r="B201" s="359"/>
      <c r="C201" s="336" t="str">
        <f>CONCATENATE(T194," ",T101," ",T193," (As= ",T195," mm2)")</f>
        <v>1 Ø 5,5 (As= 23,8 mm2)</v>
      </c>
      <c r="D201" s="336"/>
      <c r="E201" s="336"/>
      <c r="J201" s="230"/>
      <c r="K201" s="230"/>
      <c r="L201" s="230"/>
      <c r="M201" s="230"/>
      <c r="N201" s="230"/>
      <c r="O201" s="230"/>
      <c r="P201" s="230"/>
      <c r="Q201" s="230"/>
      <c r="R201" s="232" t="s">
        <v>157</v>
      </c>
      <c r="S201" s="224">
        <f>B20+B27-B171-C205/2</f>
        <v>454</v>
      </c>
      <c r="T201" s="224">
        <f>B20+B27-B171-T193/2</f>
        <v>462.25</v>
      </c>
    </row>
    <row r="202" spans="1:20" ht="15" customHeight="1">
      <c r="A202" s="334" t="s">
        <v>348</v>
      </c>
      <c r="B202" s="334"/>
      <c r="J202" s="230"/>
      <c r="K202" s="230"/>
      <c r="L202" s="230"/>
      <c r="M202" s="230"/>
      <c r="N202" s="230"/>
      <c r="O202" s="230"/>
      <c r="P202" s="230"/>
      <c r="Q202" s="230"/>
      <c r="R202" s="232" t="s">
        <v>237</v>
      </c>
      <c r="S202" s="224">
        <f>S200/S201</f>
        <v>0.27293621911511207</v>
      </c>
      <c r="T202" s="224">
        <f>T200/T201</f>
        <v>0.005596444611658475</v>
      </c>
    </row>
    <row r="203" spans="1:20" ht="12.75">
      <c r="A203" s="334"/>
      <c r="B203" s="334"/>
      <c r="C203" s="175" t="s">
        <v>436</v>
      </c>
      <c r="E203" s="224" t="str">
        <f>IF(T196=1,CONCATENATE(C206," ",T101," ",C205," (As,prov= ",T197," mm2)"),C201)</f>
        <v>3 Ø 22 (As,prov= 1140 mm2)</v>
      </c>
      <c r="J203" s="230"/>
      <c r="K203" s="230"/>
      <c r="L203" s="230"/>
      <c r="M203" s="230"/>
      <c r="N203" s="230"/>
      <c r="O203" s="230"/>
      <c r="P203" s="230"/>
      <c r="Q203" s="230"/>
      <c r="R203" s="232" t="s">
        <v>176</v>
      </c>
      <c r="S203" s="224">
        <f>S201-0.5*S200</f>
        <v>392.04347826086956</v>
      </c>
      <c r="T203" s="224">
        <f>T201-0.5*T200</f>
        <v>460.95652173913044</v>
      </c>
    </row>
    <row r="204" spans="10:20" ht="15.75">
      <c r="J204" s="230"/>
      <c r="K204" s="230"/>
      <c r="L204" s="230"/>
      <c r="M204" s="230"/>
      <c r="N204" s="230"/>
      <c r="O204" s="230"/>
      <c r="P204" s="230"/>
      <c r="Q204" s="230"/>
      <c r="R204" s="232" t="s">
        <v>252</v>
      </c>
      <c r="S204" s="224">
        <f>S203/1000*T197*F70/1000</f>
        <v>194.31720226843103</v>
      </c>
      <c r="T204" s="224">
        <f>T203/1000*T195*F70/1000</f>
        <v>4.769897920604915</v>
      </c>
    </row>
    <row r="205" spans="2:17" ht="12.75">
      <c r="B205" s="338" t="s">
        <v>231</v>
      </c>
      <c r="C205" s="174">
        <v>22</v>
      </c>
      <c r="D205" s="232" t="s">
        <v>156</v>
      </c>
      <c r="J205" s="230"/>
      <c r="K205" s="230"/>
      <c r="L205" s="230"/>
      <c r="M205" s="230"/>
      <c r="N205" s="230"/>
      <c r="O205" s="230"/>
      <c r="P205" s="230"/>
      <c r="Q205" s="230"/>
    </row>
    <row r="206" spans="2:17" ht="12.75">
      <c r="B206" s="227" t="s">
        <v>360</v>
      </c>
      <c r="C206" s="174">
        <v>3</v>
      </c>
      <c r="D206" s="232"/>
      <c r="J206" s="230"/>
      <c r="K206" s="230"/>
      <c r="L206" s="230"/>
      <c r="M206" s="230"/>
      <c r="N206" s="230"/>
      <c r="O206" s="230"/>
      <c r="P206" s="230"/>
      <c r="Q206" s="230"/>
    </row>
    <row r="207" spans="10:17" ht="12.75">
      <c r="J207" s="230"/>
      <c r="K207" s="230"/>
      <c r="L207" s="230"/>
      <c r="M207" s="230"/>
      <c r="N207" s="230"/>
      <c r="O207" s="230"/>
      <c r="P207" s="230"/>
      <c r="Q207" s="230"/>
    </row>
    <row r="208" spans="3:17" ht="12.75">
      <c r="C208" s="341">
        <f>IF($T$196=1,S200,T200)</f>
        <v>123.91304347826087</v>
      </c>
      <c r="D208" s="232" t="s">
        <v>156</v>
      </c>
      <c r="J208" s="230"/>
      <c r="K208" s="230"/>
      <c r="L208" s="230"/>
      <c r="M208" s="230"/>
      <c r="N208" s="230"/>
      <c r="O208" s="230"/>
      <c r="P208" s="230"/>
      <c r="Q208" s="230"/>
    </row>
    <row r="209" spans="3:17" ht="12.75">
      <c r="C209" s="294"/>
      <c r="J209" s="230"/>
      <c r="K209" s="230"/>
      <c r="L209" s="230"/>
      <c r="M209" s="230"/>
      <c r="N209" s="230"/>
      <c r="O209" s="230"/>
      <c r="P209" s="230"/>
      <c r="Q209" s="230"/>
    </row>
    <row r="210" spans="3:17" ht="12.75">
      <c r="C210" s="341">
        <f>IF($T$196=1,S201,T201)</f>
        <v>454</v>
      </c>
      <c r="D210" s="232" t="s">
        <v>156</v>
      </c>
      <c r="J210" s="230"/>
      <c r="K210" s="230"/>
      <c r="L210" s="230"/>
      <c r="M210" s="230"/>
      <c r="N210" s="230"/>
      <c r="O210" s="230"/>
      <c r="P210" s="230"/>
      <c r="Q210" s="230"/>
    </row>
    <row r="211" spans="3:17" ht="12.75">
      <c r="C211" s="294"/>
      <c r="J211" s="230"/>
      <c r="K211" s="230"/>
      <c r="L211" s="230"/>
      <c r="M211" s="230"/>
      <c r="N211" s="230"/>
      <c r="O211" s="230"/>
      <c r="P211" s="230"/>
      <c r="Q211" s="230"/>
    </row>
    <row r="212" spans="3:17" ht="12.75">
      <c r="C212" s="342">
        <f>IF($T$196=1,S202,T202)</f>
        <v>0.27293621911511207</v>
      </c>
      <c r="D212" s="232" t="s">
        <v>223</v>
      </c>
      <c r="E212" s="224" t="str">
        <f>CONCATENATE(S214," ","0,45 = ",S140)</f>
        <v>&lt; 0,45 = ξ bal</v>
      </c>
      <c r="J212" s="230"/>
      <c r="K212" s="230"/>
      <c r="L212" s="230"/>
      <c r="M212" s="230"/>
      <c r="N212" s="230"/>
      <c r="O212" s="230"/>
      <c r="P212" s="230"/>
      <c r="Q212" s="230"/>
    </row>
    <row r="213" spans="3:17" ht="15">
      <c r="C213" s="294"/>
      <c r="E213" s="343">
        <f>IF(C212&lt;0.45,"","Nutno změnit geometrii stropu")</f>
      </c>
      <c r="J213" s="230"/>
      <c r="K213" s="230"/>
      <c r="L213" s="230"/>
      <c r="M213" s="230"/>
      <c r="N213" s="230"/>
      <c r="O213" s="230"/>
      <c r="P213" s="230"/>
      <c r="Q213" s="230"/>
    </row>
    <row r="214" spans="3:19" ht="12.75">
      <c r="C214" s="341">
        <f>IF($T$196=1,S203,T203)</f>
        <v>392.04347826086956</v>
      </c>
      <c r="D214" s="232" t="s">
        <v>156</v>
      </c>
      <c r="J214" s="230"/>
      <c r="K214" s="230"/>
      <c r="L214" s="230"/>
      <c r="M214" s="230"/>
      <c r="N214" s="230"/>
      <c r="O214" s="230"/>
      <c r="P214" s="230"/>
      <c r="Q214" s="230"/>
      <c r="S214" s="224" t="str">
        <f>IF(C212&lt;0.45,"&lt;","&gt;")</f>
        <v>&lt;</v>
      </c>
    </row>
    <row r="215" spans="1:17" ht="12.75">
      <c r="A215" s="344"/>
      <c r="B215" s="344"/>
      <c r="J215" s="230"/>
      <c r="K215" s="230"/>
      <c r="L215" s="230"/>
      <c r="M215" s="230"/>
      <c r="N215" s="230"/>
      <c r="O215" s="230"/>
      <c r="P215" s="230"/>
      <c r="Q215" s="230"/>
    </row>
    <row r="216" spans="1:17" ht="12.75">
      <c r="A216" s="344"/>
      <c r="B216" s="344"/>
      <c r="C216" s="357">
        <f>IF($T$196=1,S204,T204)</f>
        <v>194.31720226843103</v>
      </c>
      <c r="D216" s="356" t="s">
        <v>175</v>
      </c>
      <c r="J216" s="230"/>
      <c r="K216" s="230"/>
      <c r="L216" s="230"/>
      <c r="M216" s="230"/>
      <c r="N216" s="230"/>
      <c r="O216" s="230"/>
      <c r="P216" s="230"/>
      <c r="Q216" s="230"/>
    </row>
    <row r="217" spans="10:17" ht="12.75">
      <c r="J217" s="230"/>
      <c r="K217" s="230"/>
      <c r="L217" s="230"/>
      <c r="M217" s="230"/>
      <c r="N217" s="230"/>
      <c r="O217" s="230"/>
      <c r="P217" s="230"/>
      <c r="Q217" s="230"/>
    </row>
    <row r="218" spans="2:17" ht="12.75">
      <c r="B218" s="347" t="str">
        <f>CONCATENATE("med = ",ROUND(F179,2)," kNm ",IF(F179&lt;=C216,"&lt; ","&gt; "),ROUND(C216,2)," kNm = mrd")</f>
        <v>med = 0,45 kNm &lt; 194,32 kNm = mrd</v>
      </c>
      <c r="C218" s="347"/>
      <c r="D218" s="336"/>
      <c r="E218" s="336"/>
      <c r="J218" s="230"/>
      <c r="K218" s="230"/>
      <c r="L218" s="230"/>
      <c r="M218" s="230"/>
      <c r="N218" s="230"/>
      <c r="O218" s="230"/>
      <c r="P218" s="230"/>
      <c r="Q218" s="230"/>
    </row>
    <row r="219" spans="3:17" ht="14.25">
      <c r="C219" s="348" t="str">
        <f>IF(F179&lt;C216,"OK","Not satisfy!")</f>
        <v>OK</v>
      </c>
      <c r="J219" s="230"/>
      <c r="K219" s="230"/>
      <c r="L219" s="230"/>
      <c r="M219" s="230"/>
      <c r="N219" s="230"/>
      <c r="O219" s="230"/>
      <c r="P219" s="230"/>
      <c r="Q219" s="230"/>
    </row>
    <row r="220" spans="10:17" ht="12.75">
      <c r="J220" s="230"/>
      <c r="K220" s="230"/>
      <c r="L220" s="230"/>
      <c r="M220" s="230"/>
      <c r="N220" s="230"/>
      <c r="O220" s="230"/>
      <c r="P220" s="230"/>
      <c r="Q220" s="230"/>
    </row>
    <row r="221" spans="1:17" ht="18">
      <c r="A221" s="231" t="s">
        <v>361</v>
      </c>
      <c r="J221" s="230"/>
      <c r="K221" s="230"/>
      <c r="L221" s="230"/>
      <c r="M221" s="230"/>
      <c r="N221" s="230"/>
      <c r="O221" s="230"/>
      <c r="P221" s="230"/>
      <c r="Q221" s="230"/>
    </row>
    <row r="222" spans="10:17" ht="12.75">
      <c r="J222" s="230"/>
      <c r="K222" s="230"/>
      <c r="L222" s="230"/>
      <c r="M222" s="230"/>
      <c r="N222" s="230"/>
      <c r="O222" s="230"/>
      <c r="P222" s="230"/>
      <c r="Q222" s="230"/>
    </row>
    <row r="223" spans="10:17" ht="12.75">
      <c r="J223" s="230"/>
      <c r="K223" s="230"/>
      <c r="L223" s="230"/>
      <c r="M223" s="230"/>
      <c r="N223" s="230"/>
      <c r="O223" s="230"/>
      <c r="P223" s="230"/>
      <c r="Q223" s="230"/>
    </row>
    <row r="224" spans="1:17" ht="12.75">
      <c r="A224" s="232" t="s">
        <v>362</v>
      </c>
      <c r="C224" s="227" t="s">
        <v>263</v>
      </c>
      <c r="D224" s="178">
        <v>35</v>
      </c>
      <c r="E224" s="232" t="s">
        <v>156</v>
      </c>
      <c r="J224" s="230"/>
      <c r="K224" s="230"/>
      <c r="L224" s="230"/>
      <c r="M224" s="230"/>
      <c r="N224" s="230"/>
      <c r="O224" s="230"/>
      <c r="P224" s="230"/>
      <c r="Q224" s="230"/>
    </row>
    <row r="225" spans="4:19" ht="12.75">
      <c r="D225" s="224">
        <f>IF(D224&gt;200,"Chybná hodnota","")</f>
      </c>
      <c r="J225" s="230"/>
      <c r="K225" s="230"/>
      <c r="L225" s="230"/>
      <c r="M225" s="230"/>
      <c r="N225" s="230"/>
      <c r="O225" s="230"/>
      <c r="P225" s="230"/>
      <c r="Q225" s="230"/>
      <c r="R225" s="232" t="s">
        <v>262</v>
      </c>
      <c r="S225" s="224">
        <f>0.6*(1-C63/250)</f>
        <v>0.528</v>
      </c>
    </row>
    <row r="226" spans="1:17" ht="12.75">
      <c r="A226" s="232" t="s">
        <v>363</v>
      </c>
      <c r="J226" s="230"/>
      <c r="K226" s="230"/>
      <c r="L226" s="230"/>
      <c r="M226" s="230"/>
      <c r="N226" s="230"/>
      <c r="O226" s="230"/>
      <c r="P226" s="230"/>
      <c r="Q226" s="230"/>
    </row>
    <row r="227" spans="2:17" ht="15.75">
      <c r="B227" s="236" t="s">
        <v>314</v>
      </c>
      <c r="C227" s="340">
        <f>S225*C72*(B21/1000)*C214/1000*2.5/(1+2.5^2)*1000</f>
        <v>356.89475262368813</v>
      </c>
      <c r="D227" s="232" t="s">
        <v>248</v>
      </c>
      <c r="J227" s="230"/>
      <c r="K227" s="230"/>
      <c r="L227" s="230"/>
      <c r="M227" s="230"/>
      <c r="N227" s="230"/>
      <c r="O227" s="230"/>
      <c r="P227" s="230"/>
      <c r="Q227" s="230"/>
    </row>
    <row r="228" spans="10:17" ht="12.75">
      <c r="J228" s="230"/>
      <c r="K228" s="230"/>
      <c r="L228" s="230"/>
      <c r="M228" s="230"/>
      <c r="N228" s="230"/>
      <c r="O228" s="230"/>
      <c r="P228" s="230"/>
      <c r="Q228" s="230"/>
    </row>
    <row r="229" spans="2:17" ht="12.75">
      <c r="B229" s="227" t="s">
        <v>354</v>
      </c>
      <c r="C229" s="360">
        <f>D162</f>
        <v>8</v>
      </c>
      <c r="D229" s="232" t="s">
        <v>156</v>
      </c>
      <c r="J229" s="230"/>
      <c r="K229" s="230"/>
      <c r="L229" s="230"/>
      <c r="M229" s="230"/>
      <c r="N229" s="230"/>
      <c r="O229" s="230"/>
      <c r="P229" s="230"/>
      <c r="Q229" s="230"/>
    </row>
    <row r="230" spans="1:19" ht="28.5" customHeight="1">
      <c r="A230" s="361" t="s">
        <v>364</v>
      </c>
      <c r="B230" s="361"/>
      <c r="C230" s="178">
        <v>100</v>
      </c>
      <c r="D230" s="232" t="s">
        <v>156</v>
      </c>
      <c r="J230" s="230"/>
      <c r="K230" s="230"/>
      <c r="L230" s="230"/>
      <c r="M230" s="230"/>
      <c r="N230" s="230"/>
      <c r="O230" s="230"/>
      <c r="P230" s="230"/>
      <c r="Q230" s="230"/>
      <c r="R230" s="232" t="s">
        <v>266</v>
      </c>
      <c r="S230" s="224">
        <f>C229^2*PI()/4*2</f>
        <v>100.53096491487338</v>
      </c>
    </row>
    <row r="231" spans="3:17" ht="15">
      <c r="C231" s="328" t="str">
        <f>IF(S250&gt;=S249," ","Přeztužení prvku ve spřežení")</f>
        <v> </v>
      </c>
      <c r="D231" s="343">
        <f>IF(C230&gt;400,"Chybná hodnota","")</f>
      </c>
      <c r="J231" s="230"/>
      <c r="K231" s="230"/>
      <c r="L231" s="230"/>
      <c r="M231" s="230"/>
      <c r="N231" s="230"/>
      <c r="O231" s="230"/>
      <c r="P231" s="230"/>
      <c r="Q231" s="230"/>
    </row>
    <row r="232" spans="1:19" ht="18">
      <c r="A232" s="231" t="s">
        <v>367</v>
      </c>
      <c r="J232" s="230"/>
      <c r="K232" s="230"/>
      <c r="L232" s="230"/>
      <c r="M232" s="230"/>
      <c r="N232" s="230"/>
      <c r="O232" s="230"/>
      <c r="P232" s="230"/>
      <c r="Q232" s="230"/>
      <c r="R232" s="232" t="s">
        <v>264</v>
      </c>
      <c r="S232" s="224">
        <f>MIN(0.75*C210,400)</f>
        <v>340.5</v>
      </c>
    </row>
    <row r="233" spans="10:20" ht="5.25" customHeight="1">
      <c r="J233" s="230"/>
      <c r="K233" s="230"/>
      <c r="L233" s="230"/>
      <c r="M233" s="230"/>
      <c r="N233" s="230"/>
      <c r="O233" s="230"/>
      <c r="P233" s="230"/>
      <c r="Q233" s="230"/>
      <c r="R233" s="232" t="s">
        <v>265</v>
      </c>
      <c r="S233" s="224">
        <f>S230/B21/C230</f>
        <v>0.004021238596594936</v>
      </c>
      <c r="T233" s="224" t="str">
        <f>IF(S230*F70*C214/C230*1.5/1000&lt;F180,"&lt;","&gt;")</f>
        <v>&gt;</v>
      </c>
    </row>
    <row r="234" spans="1:19" ht="14.25">
      <c r="A234" s="232" t="s">
        <v>368</v>
      </c>
      <c r="C234" s="348" t="str">
        <f>IF(C230&lt;S232,"OK","Not satisfy!")</f>
        <v>OK</v>
      </c>
      <c r="J234" s="230"/>
      <c r="K234" s="230"/>
      <c r="L234" s="230"/>
      <c r="M234" s="230"/>
      <c r="N234" s="230"/>
      <c r="O234" s="230"/>
      <c r="P234" s="230"/>
      <c r="Q234" s="230"/>
      <c r="R234" s="232" t="s">
        <v>268</v>
      </c>
      <c r="S234" s="224">
        <f>(0.08*C63^(0.5))/F70</f>
        <v>0.0010078095058095057</v>
      </c>
    </row>
    <row r="235" spans="1:17" ht="14.25">
      <c r="A235" s="232" t="s">
        <v>369</v>
      </c>
      <c r="C235" s="348" t="str">
        <f>IF(S233&gt;S234,"OK","Not satisfy")</f>
        <v>OK</v>
      </c>
      <c r="J235" s="230"/>
      <c r="K235" s="230"/>
      <c r="L235" s="230"/>
      <c r="M235" s="230"/>
      <c r="N235" s="230"/>
      <c r="O235" s="230"/>
      <c r="P235" s="230"/>
      <c r="Q235" s="230"/>
    </row>
    <row r="236" spans="5:17" ht="27" customHeight="1">
      <c r="E236" s="294"/>
      <c r="J236" s="230"/>
      <c r="K236" s="230"/>
      <c r="L236" s="230"/>
      <c r="M236" s="230"/>
      <c r="N236" s="230"/>
      <c r="O236" s="230"/>
      <c r="P236" s="230"/>
      <c r="Q236" s="230"/>
    </row>
    <row r="237" spans="1:17" ht="18">
      <c r="A237" s="231" t="s">
        <v>366</v>
      </c>
      <c r="J237" s="230"/>
      <c r="K237" s="230"/>
      <c r="L237" s="230"/>
      <c r="M237" s="230"/>
      <c r="N237" s="230"/>
      <c r="O237" s="230"/>
      <c r="P237" s="230"/>
      <c r="Q237" s="230"/>
    </row>
    <row r="238" spans="2:17" ht="12.75">
      <c r="B238" s="362"/>
      <c r="C238" s="363" t="str">
        <f>CONCATENATE("Vrd,s = ",ROUND(S230*F70*C214/C230*1.5/1000,2),"kN ",T233," ",ROUND(F180,2)," kN = Ved")</f>
        <v>Vrd,s = 257,04kN &gt; 0,32 kN = Ved</v>
      </c>
      <c r="D238" s="336"/>
      <c r="E238" s="336"/>
      <c r="J238" s="230"/>
      <c r="K238" s="230"/>
      <c r="L238" s="230"/>
      <c r="M238" s="230"/>
      <c r="N238" s="230"/>
      <c r="O238" s="230"/>
      <c r="P238" s="230"/>
      <c r="Q238" s="230"/>
    </row>
    <row r="239" spans="3:17" ht="14.25">
      <c r="C239" s="348" t="str">
        <f>IF((S230*F70*C214/C230*1.5/1000)&gt;F180,"OK","Not satisfy!")</f>
        <v>OK</v>
      </c>
      <c r="J239" s="230"/>
      <c r="K239" s="230"/>
      <c r="L239" s="230"/>
      <c r="M239" s="230"/>
      <c r="N239" s="230"/>
      <c r="O239" s="230"/>
      <c r="P239" s="230"/>
      <c r="Q239" s="230"/>
    </row>
    <row r="240" spans="1:19" ht="18">
      <c r="A240" s="231" t="s">
        <v>365</v>
      </c>
      <c r="J240" s="230"/>
      <c r="K240" s="230"/>
      <c r="L240" s="230"/>
      <c r="M240" s="230"/>
      <c r="N240" s="230"/>
      <c r="O240" s="230"/>
      <c r="P240" s="230"/>
      <c r="Q240" s="230"/>
      <c r="S240" s="364" t="s">
        <v>439</v>
      </c>
    </row>
    <row r="241" spans="2:19" ht="12.75">
      <c r="B241" s="336"/>
      <c r="C241" s="365" t="str">
        <f>CONCATENATE("Vrd,i = ",ROUND(S249,2)," MPa ",T249," ",ROUND(C251,2)," MPa = Ved,i")</f>
        <v>Vrd,i = 1,82 MPa &gt; 0 MPa = Ved,i</v>
      </c>
      <c r="D241" s="336"/>
      <c r="E241" s="336"/>
      <c r="J241" s="230"/>
      <c r="K241" s="230"/>
      <c r="L241" s="230"/>
      <c r="M241" s="230"/>
      <c r="N241" s="230"/>
      <c r="O241" s="230"/>
      <c r="P241" s="230"/>
      <c r="Q241" s="230"/>
      <c r="S241" s="364" t="s">
        <v>440</v>
      </c>
    </row>
    <row r="242" spans="3:19" ht="19.5" customHeight="1">
      <c r="C242" s="348" t="str">
        <f>IF(C251&lt;S249,"OK","Not satisfy!")</f>
        <v>OK</v>
      </c>
      <c r="J242" s="230"/>
      <c r="K242" s="230"/>
      <c r="L242" s="230"/>
      <c r="M242" s="230"/>
      <c r="N242" s="230"/>
      <c r="O242" s="230"/>
      <c r="P242" s="230"/>
      <c r="Q242" s="230"/>
      <c r="S242" s="232" t="s">
        <v>441</v>
      </c>
    </row>
    <row r="243" spans="10:19" ht="39" customHeight="1" thickBot="1">
      <c r="J243" s="230"/>
      <c r="K243" s="230"/>
      <c r="L243" s="230"/>
      <c r="M243" s="230"/>
      <c r="N243" s="230"/>
      <c r="O243" s="230"/>
      <c r="P243" s="230"/>
      <c r="Q243" s="230"/>
      <c r="R243" s="224">
        <f>IF(B245=S240,1,IF(B245=S241,2,3))</f>
        <v>3</v>
      </c>
      <c r="S243" s="297"/>
    </row>
    <row r="244" spans="10:17" ht="37.5" customHeight="1">
      <c r="J244" s="230"/>
      <c r="K244" s="229"/>
      <c r="L244" s="230"/>
      <c r="M244" s="230"/>
      <c r="N244" s="230"/>
      <c r="O244" s="230"/>
      <c r="P244" s="230"/>
      <c r="Q244" s="230"/>
    </row>
    <row r="245" spans="2:17" ht="12.75">
      <c r="B245" s="186" t="s">
        <v>441</v>
      </c>
      <c r="C245" s="186"/>
      <c r="D245" s="366"/>
      <c r="E245" s="232"/>
      <c r="J245" s="230"/>
      <c r="K245" s="230"/>
      <c r="L245" s="230"/>
      <c r="M245" s="230"/>
      <c r="N245" s="230"/>
      <c r="O245" s="230"/>
      <c r="P245" s="230"/>
      <c r="Q245" s="230"/>
    </row>
    <row r="246" spans="2:17" ht="15.75" customHeight="1">
      <c r="B246" s="367" t="s">
        <v>269</v>
      </c>
      <c r="C246" s="368">
        <f>LOOKUP(R243,Tables!I121:I124,Tables!K121:K124)</f>
        <v>0.45</v>
      </c>
      <c r="D246" s="369" t="s">
        <v>223</v>
      </c>
      <c r="E246" s="232"/>
      <c r="H246" s="370"/>
      <c r="I246" s="370"/>
      <c r="J246" s="371"/>
      <c r="K246" s="371"/>
      <c r="L246" s="371"/>
      <c r="M246" s="371"/>
      <c r="N246" s="230"/>
      <c r="O246" s="372"/>
      <c r="P246" s="230"/>
      <c r="Q246" s="230"/>
    </row>
    <row r="247" spans="2:17" ht="12" customHeight="1">
      <c r="B247" s="367" t="s">
        <v>270</v>
      </c>
      <c r="C247" s="368">
        <f>LOOKUP(R243,Tables!I121:I124,Tables!L121:L124)</f>
        <v>0.7</v>
      </c>
      <c r="D247" s="369" t="s">
        <v>223</v>
      </c>
      <c r="E247" s="232"/>
      <c r="H247" s="370"/>
      <c r="I247" s="370"/>
      <c r="J247" s="371"/>
      <c r="K247" s="373"/>
      <c r="L247" s="373"/>
      <c r="M247" s="373"/>
      <c r="N247" s="373"/>
      <c r="O247" s="374"/>
      <c r="P247" s="230"/>
      <c r="Q247" s="230"/>
    </row>
    <row r="248" spans="2:19" ht="15" customHeight="1">
      <c r="B248" s="367" t="s">
        <v>312</v>
      </c>
      <c r="C248" s="179">
        <v>0</v>
      </c>
      <c r="D248" s="369" t="s">
        <v>215</v>
      </c>
      <c r="E248" s="232"/>
      <c r="H248" s="370"/>
      <c r="I248" s="370"/>
      <c r="J248" s="371"/>
      <c r="K248" s="373"/>
      <c r="L248" s="373"/>
      <c r="M248" s="375"/>
      <c r="N248" s="373"/>
      <c r="O248" s="374"/>
      <c r="P248" s="230"/>
      <c r="Q248" s="230"/>
      <c r="R248" s="232" t="s">
        <v>275</v>
      </c>
      <c r="S248" s="224">
        <f>RADIANS(C249)</f>
        <v>1.5707963267948966</v>
      </c>
    </row>
    <row r="249" spans="2:20" ht="12.75" customHeight="1">
      <c r="B249" s="367" t="s">
        <v>271</v>
      </c>
      <c r="C249" s="179">
        <v>90</v>
      </c>
      <c r="D249" s="376" t="s">
        <v>272</v>
      </c>
      <c r="E249" s="335"/>
      <c r="H249" s="370"/>
      <c r="I249" s="370"/>
      <c r="J249" s="371"/>
      <c r="K249" s="373"/>
      <c r="L249" s="373"/>
      <c r="M249" s="375"/>
      <c r="N249" s="373"/>
      <c r="O249" s="374"/>
      <c r="P249" s="230"/>
      <c r="Q249" s="230"/>
      <c r="R249" s="232" t="s">
        <v>276</v>
      </c>
      <c r="S249" s="224">
        <f>C246*C67/C71+S233*F70*(C247*SIN(S248)+COS(S248))+C248*C247</f>
        <v>1.8238552250506328</v>
      </c>
      <c r="T249" s="224" t="str">
        <f>IF(C251&gt;S249,"&lt;","&gt;")</f>
        <v>&gt;</v>
      </c>
    </row>
    <row r="250" spans="1:19" ht="18.75">
      <c r="A250" s="377"/>
      <c r="B250" s="378"/>
      <c r="C250" s="356"/>
      <c r="D250" s="356"/>
      <c r="E250" s="232"/>
      <c r="F250" s="379"/>
      <c r="G250" s="380"/>
      <c r="J250" s="230"/>
      <c r="K250" s="381"/>
      <c r="L250" s="381"/>
      <c r="M250" s="381"/>
      <c r="N250" s="381"/>
      <c r="O250" s="381"/>
      <c r="P250" s="230"/>
      <c r="Q250" s="230"/>
      <c r="R250" s="232" t="s">
        <v>277</v>
      </c>
      <c r="S250" s="370">
        <f>0.5*S225*C72</f>
        <v>5.28</v>
      </c>
    </row>
    <row r="251" spans="1:17" ht="15">
      <c r="A251" s="344"/>
      <c r="B251" s="378"/>
      <c r="C251" s="382">
        <f>1*F180/(C214*B21-D224-D224)*1000</f>
        <v>0.0033167333661836777</v>
      </c>
      <c r="D251" s="369" t="s">
        <v>215</v>
      </c>
      <c r="E251" s="383">
        <v>4</v>
      </c>
      <c r="F251" s="380"/>
      <c r="G251" s="380"/>
      <c r="J251" s="230"/>
      <c r="K251" s="381"/>
      <c r="L251" s="381"/>
      <c r="M251" s="381"/>
      <c r="N251" s="381"/>
      <c r="O251" s="381"/>
      <c r="P251" s="230"/>
      <c r="Q251" s="230"/>
    </row>
    <row r="252" spans="1:17" ht="15">
      <c r="A252" s="344"/>
      <c r="B252" s="378"/>
      <c r="E252" s="232"/>
      <c r="F252" s="380"/>
      <c r="G252" s="380"/>
      <c r="J252" s="230"/>
      <c r="K252" s="381"/>
      <c r="L252" s="381"/>
      <c r="M252" s="381"/>
      <c r="N252" s="381"/>
      <c r="O252" s="381"/>
      <c r="P252" s="230"/>
      <c r="Q252" s="230"/>
    </row>
    <row r="253" spans="6:17" ht="15">
      <c r="F253" s="380"/>
      <c r="G253" s="380"/>
      <c r="J253" s="230"/>
      <c r="K253" s="381"/>
      <c r="L253" s="381"/>
      <c r="M253" s="381"/>
      <c r="N253" s="381"/>
      <c r="O253" s="381"/>
      <c r="P253" s="230"/>
      <c r="Q253" s="230"/>
    </row>
    <row r="254" spans="1:17" ht="20.25">
      <c r="A254" s="228" t="s">
        <v>370</v>
      </c>
      <c r="J254" s="230"/>
      <c r="K254" s="230"/>
      <c r="L254" s="230"/>
      <c r="M254" s="230"/>
      <c r="N254" s="230"/>
      <c r="O254" s="230"/>
      <c r="P254" s="230"/>
      <c r="Q254" s="230"/>
    </row>
    <row r="255" spans="1:17" ht="18">
      <c r="A255" s="231" t="s">
        <v>371</v>
      </c>
      <c r="J255" s="230"/>
      <c r="K255" s="230"/>
      <c r="L255" s="230"/>
      <c r="M255" s="230"/>
      <c r="N255" s="230"/>
      <c r="O255" s="230"/>
      <c r="P255" s="230"/>
      <c r="Q255" s="230"/>
    </row>
    <row r="256" spans="7:17" ht="12.75">
      <c r="G256" s="354" t="s">
        <v>375</v>
      </c>
      <c r="H256" s="354"/>
      <c r="I256" s="354"/>
      <c r="J256" s="230"/>
      <c r="K256" s="230"/>
      <c r="L256" s="230"/>
      <c r="M256" s="230"/>
      <c r="N256" s="230"/>
      <c r="O256" s="230"/>
      <c r="P256" s="230"/>
      <c r="Q256" s="230"/>
    </row>
    <row r="257" spans="1:17" ht="14.25">
      <c r="A257" s="232"/>
      <c r="B257" s="227" t="s">
        <v>372</v>
      </c>
      <c r="C257" s="384">
        <f>(B20+2*B21)*B11/1000000</f>
        <v>0.004675</v>
      </c>
      <c r="D257" s="232" t="s">
        <v>313</v>
      </c>
      <c r="J257" s="230"/>
      <c r="K257" s="230"/>
      <c r="L257" s="230"/>
      <c r="M257" s="230"/>
      <c r="N257" s="230"/>
      <c r="O257" s="230"/>
      <c r="P257" s="230"/>
      <c r="Q257" s="230"/>
    </row>
    <row r="258" spans="1:17" ht="12.75">
      <c r="A258" s="232"/>
      <c r="B258" s="227" t="s">
        <v>373</v>
      </c>
      <c r="C258" s="187" t="s">
        <v>442</v>
      </c>
      <c r="D258" s="187"/>
      <c r="E258" s="187"/>
      <c r="J258" s="230"/>
      <c r="K258" s="230"/>
      <c r="L258" s="230"/>
      <c r="M258" s="230"/>
      <c r="N258" s="230"/>
      <c r="O258" s="230"/>
      <c r="P258" s="230"/>
      <c r="Q258" s="230"/>
    </row>
    <row r="259" spans="10:22" ht="4.5" customHeight="1">
      <c r="J259" s="230"/>
      <c r="K259" s="230"/>
      <c r="L259" s="230"/>
      <c r="M259" s="230"/>
      <c r="N259" s="230"/>
      <c r="O259" s="230"/>
      <c r="P259" s="230"/>
      <c r="Q259" s="230"/>
      <c r="S259" s="232" t="s">
        <v>442</v>
      </c>
      <c r="V259" s="224">
        <v>1</v>
      </c>
    </row>
    <row r="260" spans="2:22" ht="12.75">
      <c r="B260" s="227" t="s">
        <v>374</v>
      </c>
      <c r="C260" s="173">
        <v>30</v>
      </c>
      <c r="D260" s="335" t="s">
        <v>278</v>
      </c>
      <c r="E260" s="385"/>
      <c r="J260" s="230"/>
      <c r="K260" s="230"/>
      <c r="L260" s="230"/>
      <c r="M260" s="230"/>
      <c r="N260" s="230"/>
      <c r="O260" s="230"/>
      <c r="P260" s="230"/>
      <c r="Q260" s="230"/>
      <c r="S260" s="232" t="s">
        <v>443</v>
      </c>
      <c r="V260" s="224">
        <v>2</v>
      </c>
    </row>
    <row r="261" spans="10:22" ht="12.75">
      <c r="J261" s="230"/>
      <c r="K261" s="230"/>
      <c r="L261" s="230"/>
      <c r="M261" s="230"/>
      <c r="N261" s="230"/>
      <c r="O261" s="230"/>
      <c r="P261" s="230"/>
      <c r="Q261" s="230"/>
      <c r="S261" s="232" t="s">
        <v>444</v>
      </c>
      <c r="V261" s="224">
        <v>3</v>
      </c>
    </row>
    <row r="262" spans="10:17" ht="12.75">
      <c r="J262" s="230"/>
      <c r="K262" s="230"/>
      <c r="L262" s="230"/>
      <c r="M262" s="230"/>
      <c r="N262" s="230"/>
      <c r="O262" s="230"/>
      <c r="P262" s="230"/>
      <c r="Q262" s="230"/>
    </row>
    <row r="263" spans="10:17" ht="12.75">
      <c r="J263" s="230"/>
      <c r="K263" s="230"/>
      <c r="L263" s="230"/>
      <c r="M263" s="230"/>
      <c r="N263" s="230"/>
      <c r="O263" s="230"/>
      <c r="P263" s="230"/>
      <c r="Q263" s="230"/>
    </row>
    <row r="264" spans="10:19" ht="10.5" customHeight="1">
      <c r="J264" s="230"/>
      <c r="K264" s="230"/>
      <c r="L264" s="230"/>
      <c r="M264" s="230"/>
      <c r="N264" s="230"/>
      <c r="O264" s="230"/>
      <c r="P264" s="230"/>
      <c r="Q264" s="230"/>
      <c r="R264" s="232" t="s">
        <v>447</v>
      </c>
      <c r="S264" s="224">
        <f>RADIANS(C260)</f>
        <v>0.5235987755982988</v>
      </c>
    </row>
    <row r="265" spans="10:19" ht="12.75">
      <c r="J265" s="230"/>
      <c r="K265" s="230"/>
      <c r="L265" s="230"/>
      <c r="M265" s="230"/>
      <c r="N265" s="230"/>
      <c r="O265" s="230"/>
      <c r="P265" s="230"/>
      <c r="Q265" s="230"/>
      <c r="R265" s="232" t="s">
        <v>448</v>
      </c>
      <c r="S265" s="224">
        <f>B20*B21/1000000*B11*25</f>
        <v>12.031249999999998</v>
      </c>
    </row>
    <row r="266" spans="10:17" ht="12.75">
      <c r="J266" s="230"/>
      <c r="K266" s="230"/>
      <c r="L266" s="230"/>
      <c r="M266" s="230"/>
      <c r="N266" s="230"/>
      <c r="O266" s="230"/>
      <c r="P266" s="230"/>
      <c r="Q266" s="230"/>
    </row>
    <row r="267" spans="10:17" ht="12.75">
      <c r="J267" s="230"/>
      <c r="K267" s="230"/>
      <c r="L267" s="230"/>
      <c r="M267" s="230"/>
      <c r="N267" s="230"/>
      <c r="O267" s="230"/>
      <c r="P267" s="230"/>
      <c r="Q267" s="230"/>
    </row>
    <row r="268" spans="10:23" ht="12.75">
      <c r="J268" s="230"/>
      <c r="K268" s="230"/>
      <c r="L268" s="230"/>
      <c r="M268" s="230"/>
      <c r="N268" s="230"/>
      <c r="O268" s="230"/>
      <c r="P268" s="230"/>
      <c r="Q268" s="230"/>
      <c r="S268" s="232" t="s">
        <v>456</v>
      </c>
      <c r="W268" s="224">
        <v>1.2</v>
      </c>
    </row>
    <row r="269" spans="10:23" ht="12.75">
      <c r="J269" s="230"/>
      <c r="K269" s="230"/>
      <c r="L269" s="230"/>
      <c r="M269" s="230"/>
      <c r="N269" s="230"/>
      <c r="O269" s="230"/>
      <c r="P269" s="230"/>
      <c r="Q269" s="230"/>
      <c r="S269" s="232" t="s">
        <v>457</v>
      </c>
      <c r="W269" s="224">
        <v>1.4</v>
      </c>
    </row>
    <row r="270" spans="1:23" ht="12.75">
      <c r="A270" s="232"/>
      <c r="B270" s="232"/>
      <c r="C270" s="227" t="s">
        <v>378</v>
      </c>
      <c r="D270" s="187" t="s">
        <v>457</v>
      </c>
      <c r="E270" s="187"/>
      <c r="F270" s="187"/>
      <c r="G270" s="187"/>
      <c r="H270" s="187"/>
      <c r="J270" s="230"/>
      <c r="K270" s="230"/>
      <c r="L270" s="230"/>
      <c r="M270" s="230"/>
      <c r="N270" s="230"/>
      <c r="O270" s="230"/>
      <c r="P270" s="230"/>
      <c r="Q270" s="230"/>
      <c r="S270" s="232" t="s">
        <v>445</v>
      </c>
      <c r="W270" s="224">
        <v>1.65</v>
      </c>
    </row>
    <row r="271" spans="10:23" ht="12.75">
      <c r="J271" s="230"/>
      <c r="K271" s="230"/>
      <c r="L271" s="230"/>
      <c r="M271" s="230"/>
      <c r="N271" s="230"/>
      <c r="O271" s="230"/>
      <c r="P271" s="230"/>
      <c r="Q271" s="230"/>
      <c r="S271" s="232" t="s">
        <v>446</v>
      </c>
      <c r="W271" s="224">
        <v>2</v>
      </c>
    </row>
    <row r="272" spans="1:17" ht="12.75">
      <c r="A272" s="232"/>
      <c r="C272" s="227" t="s">
        <v>376</v>
      </c>
      <c r="E272" s="356"/>
      <c r="H272" s="357">
        <f>((VLOOKUP(D270,S268:W271,5,FALSE))*1.35*(S265+C257*(LOOKUP(C258,S259:S261,V259:V261))))/(2*COS(S264))</f>
        <v>13.133505178135714</v>
      </c>
      <c r="I272" s="356" t="s">
        <v>248</v>
      </c>
      <c r="J272" s="230"/>
      <c r="K272" s="230"/>
      <c r="L272" s="230"/>
      <c r="M272" s="230"/>
      <c r="N272" s="230"/>
      <c r="O272" s="230"/>
      <c r="P272" s="230"/>
      <c r="Q272" s="230"/>
    </row>
    <row r="273" spans="10:17" ht="12.75">
      <c r="J273" s="230"/>
      <c r="K273" s="230"/>
      <c r="L273" s="230"/>
      <c r="M273" s="230"/>
      <c r="N273" s="230"/>
      <c r="O273" s="230"/>
      <c r="P273" s="230"/>
      <c r="Q273" s="230"/>
    </row>
    <row r="274" spans="1:23" ht="12.75">
      <c r="A274" s="232"/>
      <c r="C274" s="227" t="s">
        <v>379</v>
      </c>
      <c r="D274" s="187" t="s">
        <v>446</v>
      </c>
      <c r="E274" s="187"/>
      <c r="F274" s="187"/>
      <c r="G274" s="187"/>
      <c r="H274" s="187"/>
      <c r="J274" s="230"/>
      <c r="K274" s="230"/>
      <c r="L274" s="230"/>
      <c r="M274" s="230"/>
      <c r="N274" s="230"/>
      <c r="O274" s="230"/>
      <c r="P274" s="230"/>
      <c r="Q274" s="230"/>
      <c r="W274" s="232"/>
    </row>
    <row r="275" spans="10:23" ht="12.75">
      <c r="J275" s="230"/>
      <c r="K275" s="230"/>
      <c r="L275" s="230"/>
      <c r="M275" s="230"/>
      <c r="N275" s="230"/>
      <c r="O275" s="230"/>
      <c r="P275" s="230"/>
      <c r="Q275" s="230"/>
      <c r="W275" s="232"/>
    </row>
    <row r="276" spans="1:19" ht="12.75">
      <c r="A276" s="232"/>
      <c r="B276" s="386"/>
      <c r="C276" s="227" t="s">
        <v>380</v>
      </c>
      <c r="D276" s="227"/>
      <c r="E276" s="356"/>
      <c r="H276" s="357">
        <f>((VLOOKUP(D274,S268:W271,5,FALSE))*1.35*(S265))/(2*COS(S264))</f>
        <v>18.754862650706748</v>
      </c>
      <c r="I276" s="356" t="s">
        <v>248</v>
      </c>
      <c r="J276" s="230"/>
      <c r="K276" s="230"/>
      <c r="L276" s="230"/>
      <c r="M276" s="230"/>
      <c r="N276" s="230"/>
      <c r="O276" s="230"/>
      <c r="P276" s="230"/>
      <c r="Q276" s="230"/>
      <c r="S276" s="224">
        <f>VLOOKUP(D274,S268:W271,5,FALSE)</f>
        <v>2</v>
      </c>
    </row>
    <row r="277" spans="1:17" ht="15">
      <c r="A277" s="387">
        <v>5</v>
      </c>
      <c r="D277" s="386"/>
      <c r="J277" s="230"/>
      <c r="K277" s="230"/>
      <c r="L277" s="230"/>
      <c r="M277" s="230"/>
      <c r="N277" s="230"/>
      <c r="O277" s="230"/>
      <c r="P277" s="230"/>
      <c r="Q277" s="230"/>
    </row>
    <row r="278" spans="10:17" ht="12.75">
      <c r="J278" s="230"/>
      <c r="K278" s="230"/>
      <c r="L278" s="230"/>
      <c r="M278" s="230"/>
      <c r="N278" s="230"/>
      <c r="O278" s="230"/>
      <c r="P278" s="230"/>
      <c r="Q278" s="230"/>
    </row>
    <row r="279" spans="1:17" ht="15">
      <c r="A279" s="306" t="s">
        <v>395</v>
      </c>
      <c r="B279" s="388"/>
      <c r="C279" s="306"/>
      <c r="D279" s="306"/>
      <c r="E279" s="306"/>
      <c r="F279" s="306"/>
      <c r="G279" s="380"/>
      <c r="J279" s="230"/>
      <c r="K279" s="230"/>
      <c r="L279" s="230"/>
      <c r="M279" s="230"/>
      <c r="N279" s="230"/>
      <c r="O279" s="230"/>
      <c r="P279" s="230"/>
      <c r="Q279" s="230"/>
    </row>
    <row r="280" spans="1:17" ht="12.75">
      <c r="A280" s="344"/>
      <c r="B280" s="389"/>
      <c r="C280" s="344"/>
      <c r="D280" s="344"/>
      <c r="J280" s="230"/>
      <c r="K280" s="230"/>
      <c r="L280" s="230"/>
      <c r="M280" s="230"/>
      <c r="N280" s="230"/>
      <c r="O280" s="230"/>
      <c r="P280" s="230"/>
      <c r="Q280" s="230"/>
    </row>
    <row r="281" spans="1:17" ht="12.75">
      <c r="A281" s="344"/>
      <c r="B281" s="389"/>
      <c r="C281" s="344"/>
      <c r="D281" s="344"/>
      <c r="H281" s="303" t="s">
        <v>381</v>
      </c>
      <c r="J281" s="230"/>
      <c r="K281" s="230"/>
      <c r="L281" s="230"/>
      <c r="M281" s="230"/>
      <c r="N281" s="230"/>
      <c r="O281" s="230"/>
      <c r="P281" s="230"/>
      <c r="Q281" s="230"/>
    </row>
    <row r="282" spans="1:17" ht="12.75">
      <c r="A282" s="344"/>
      <c r="B282" s="389"/>
      <c r="C282" s="344"/>
      <c r="D282" s="344"/>
      <c r="J282" s="230"/>
      <c r="K282" s="230"/>
      <c r="L282" s="230"/>
      <c r="M282" s="230"/>
      <c r="N282" s="230"/>
      <c r="O282" s="230"/>
      <c r="P282" s="230"/>
      <c r="Q282" s="230"/>
    </row>
    <row r="283" spans="10:20" ht="12.75">
      <c r="J283" s="230"/>
      <c r="K283" s="230"/>
      <c r="L283" s="230"/>
      <c r="M283" s="230"/>
      <c r="N283" s="230"/>
      <c r="O283" s="230"/>
      <c r="P283" s="230"/>
      <c r="Q283" s="230"/>
      <c r="S283" s="232" t="s">
        <v>447</v>
      </c>
      <c r="T283" s="224">
        <f>RADIANS(H291/2+30)</f>
        <v>0.9162978572970231</v>
      </c>
    </row>
    <row r="284" spans="2:17" ht="12.75">
      <c r="B284" s="386"/>
      <c r="J284" s="230"/>
      <c r="K284" s="230"/>
      <c r="L284" s="230"/>
      <c r="M284" s="230"/>
      <c r="N284" s="230"/>
      <c r="O284" s="230"/>
      <c r="P284" s="230"/>
      <c r="Q284" s="230"/>
    </row>
    <row r="285" spans="10:17" ht="12.75">
      <c r="J285" s="230"/>
      <c r="K285" s="230"/>
      <c r="L285" s="230"/>
      <c r="M285" s="230"/>
      <c r="N285" s="230"/>
      <c r="O285" s="230"/>
      <c r="P285" s="230"/>
      <c r="Q285" s="230"/>
    </row>
    <row r="286" spans="10:21" ht="12.75">
      <c r="J286" s="230"/>
      <c r="K286" s="230"/>
      <c r="L286" s="230"/>
      <c r="M286" s="230"/>
      <c r="N286" s="230"/>
      <c r="O286" s="230"/>
      <c r="P286" s="230"/>
      <c r="Q286" s="230"/>
      <c r="S286" s="232" t="s">
        <v>280</v>
      </c>
      <c r="T286" s="224">
        <f>MAX(H272,H276)/COS(T283)</f>
        <v>30.808230871732974</v>
      </c>
      <c r="U286" s="232" t="s">
        <v>248</v>
      </c>
    </row>
    <row r="287" spans="10:17" ht="12.75">
      <c r="J287" s="230"/>
      <c r="K287" s="230"/>
      <c r="L287" s="230"/>
      <c r="M287" s="230"/>
      <c r="N287" s="230"/>
      <c r="O287" s="230"/>
      <c r="P287" s="230"/>
      <c r="Q287" s="230"/>
    </row>
    <row r="288" spans="10:20" ht="15.75">
      <c r="J288" s="230"/>
      <c r="K288" s="230"/>
      <c r="L288" s="230"/>
      <c r="M288" s="390"/>
      <c r="N288" s="230"/>
      <c r="O288" s="230"/>
      <c r="P288" s="230"/>
      <c r="Q288" s="230"/>
      <c r="S288" s="232" t="s">
        <v>256</v>
      </c>
      <c r="T288" s="224">
        <f>CEILING(E293/(PI()*D162^2/4),1)</f>
        <v>3</v>
      </c>
    </row>
    <row r="289" spans="10:17" ht="12.75">
      <c r="J289" s="230"/>
      <c r="K289" s="230"/>
      <c r="L289" s="230"/>
      <c r="M289" s="230"/>
      <c r="N289" s="230"/>
      <c r="O289" s="230"/>
      <c r="P289" s="230"/>
      <c r="Q289" s="230"/>
    </row>
    <row r="290" spans="10:17" ht="12.75">
      <c r="J290" s="230"/>
      <c r="K290" s="230"/>
      <c r="L290" s="230"/>
      <c r="M290" s="230"/>
      <c r="N290" s="230"/>
      <c r="O290" s="230"/>
      <c r="P290" s="230"/>
      <c r="Q290" s="230"/>
    </row>
    <row r="291" spans="7:17" ht="12.75">
      <c r="G291" s="338" t="s">
        <v>279</v>
      </c>
      <c r="H291" s="178">
        <v>45</v>
      </c>
      <c r="I291" s="335" t="s">
        <v>278</v>
      </c>
      <c r="J291" s="230"/>
      <c r="K291" s="230"/>
      <c r="L291" s="230"/>
      <c r="M291" s="230"/>
      <c r="N291" s="230"/>
      <c r="O291" s="230"/>
      <c r="P291" s="230"/>
      <c r="Q291" s="230"/>
    </row>
    <row r="292" spans="10:17" ht="12.75">
      <c r="J292" s="230"/>
      <c r="K292" s="230"/>
      <c r="L292" s="230"/>
      <c r="M292" s="230"/>
      <c r="N292" s="230"/>
      <c r="O292" s="230"/>
      <c r="P292" s="230"/>
      <c r="Q292" s="230"/>
    </row>
    <row r="293" spans="1:17" ht="12.75">
      <c r="A293" s="232" t="s">
        <v>382</v>
      </c>
      <c r="E293" s="351">
        <f>T286*1000/((0.05*D162+0.3)*F70)</f>
        <v>101.22704429283692</v>
      </c>
      <c r="F293" s="232" t="s">
        <v>156</v>
      </c>
      <c r="J293" s="230"/>
      <c r="K293" s="230"/>
      <c r="L293" s="230"/>
      <c r="M293" s="230"/>
      <c r="N293" s="230"/>
      <c r="O293" s="230"/>
      <c r="P293" s="230"/>
      <c r="Q293" s="230"/>
    </row>
    <row r="294" spans="10:17" ht="12.75">
      <c r="J294" s="230"/>
      <c r="K294" s="230"/>
      <c r="L294" s="230"/>
      <c r="M294" s="230"/>
      <c r="N294" s="230"/>
      <c r="O294" s="230"/>
      <c r="P294" s="230"/>
      <c r="Q294" s="230"/>
    </row>
    <row r="295" spans="1:17" ht="12.75">
      <c r="A295" s="232"/>
      <c r="B295" s="347" t="str">
        <f>CONCATENATE("Number of binder bars required for attachment on one side ",T288," pieces.")</f>
        <v>Number of binder bars required for attachment on one side 3 pieces.</v>
      </c>
      <c r="C295" s="336"/>
      <c r="D295" s="336"/>
      <c r="E295" s="336"/>
      <c r="F295" s="336"/>
      <c r="G295" s="336"/>
      <c r="H295" s="336"/>
      <c r="J295" s="230"/>
      <c r="K295" s="230"/>
      <c r="L295" s="230"/>
      <c r="M295" s="230"/>
      <c r="N295" s="230"/>
      <c r="O295" s="230"/>
      <c r="P295" s="230"/>
      <c r="Q295" s="230"/>
    </row>
    <row r="296" spans="1:17" ht="69" customHeight="1">
      <c r="A296" s="232"/>
      <c r="J296" s="230"/>
      <c r="K296" s="230"/>
      <c r="L296" s="230"/>
      <c r="M296" s="230"/>
      <c r="N296" s="230"/>
      <c r="O296" s="230"/>
      <c r="P296" s="230"/>
      <c r="Q296" s="230"/>
    </row>
    <row r="297" spans="1:17" ht="18">
      <c r="A297" s="231" t="s">
        <v>383</v>
      </c>
      <c r="J297" s="230"/>
      <c r="K297" s="230"/>
      <c r="L297" s="230"/>
      <c r="M297" s="230"/>
      <c r="N297" s="230"/>
      <c r="O297" s="230"/>
      <c r="P297" s="230"/>
      <c r="Q297" s="230"/>
    </row>
    <row r="298" spans="1:17" ht="30" customHeight="1">
      <c r="A298" s="232" t="s">
        <v>384</v>
      </c>
      <c r="D298" s="391" t="s">
        <v>385</v>
      </c>
      <c r="E298" s="391"/>
      <c r="J298" s="230"/>
      <c r="K298" s="230"/>
      <c r="L298" s="230"/>
      <c r="M298" s="230"/>
      <c r="N298" s="230"/>
      <c r="O298" s="230"/>
      <c r="P298" s="230"/>
      <c r="Q298" s="230"/>
    </row>
    <row r="299" spans="10:17" ht="12.75">
      <c r="J299" s="230"/>
      <c r="K299" s="230"/>
      <c r="L299" s="230"/>
      <c r="M299" s="230"/>
      <c r="N299" s="230"/>
      <c r="O299" s="230"/>
      <c r="P299" s="230"/>
      <c r="Q299" s="230"/>
    </row>
    <row r="300" spans="1:17" ht="15">
      <c r="A300" s="232"/>
      <c r="B300" s="343">
        <f>IF(B301&gt;10,"Špatně zadaná hodnota","")</f>
      </c>
      <c r="G300" s="343">
        <f>IF(G301&gt;10,"Špatně zadaná hodnota","")</f>
      </c>
      <c r="J300" s="230"/>
      <c r="K300" s="230"/>
      <c r="L300" s="230"/>
      <c r="M300" s="230"/>
      <c r="N300" s="230"/>
      <c r="O300" s="230"/>
      <c r="P300" s="230"/>
      <c r="Q300" s="230"/>
    </row>
    <row r="301" spans="1:17" ht="12.75">
      <c r="A301" s="232"/>
      <c r="B301" s="169">
        <v>1</v>
      </c>
      <c r="C301" s="392">
        <f>B11-G301-B301</f>
        <v>3.5</v>
      </c>
      <c r="D301" s="393"/>
      <c r="E301" s="393"/>
      <c r="F301" s="394"/>
      <c r="G301" s="169">
        <v>1</v>
      </c>
      <c r="J301" s="230"/>
      <c r="K301" s="230"/>
      <c r="L301" s="230"/>
      <c r="M301" s="230"/>
      <c r="N301" s="230"/>
      <c r="O301" s="230"/>
      <c r="P301" s="230"/>
      <c r="Q301" s="230"/>
    </row>
    <row r="302" spans="1:17" ht="12.75">
      <c r="A302" s="232"/>
      <c r="B302" s="230"/>
      <c r="C302" s="230"/>
      <c r="D302" s="230"/>
      <c r="E302" s="230"/>
      <c r="F302" s="230"/>
      <c r="G302" s="230"/>
      <c r="J302" s="230"/>
      <c r="K302" s="230"/>
      <c r="L302" s="230"/>
      <c r="M302" s="230"/>
      <c r="N302" s="230"/>
      <c r="O302" s="230"/>
      <c r="P302" s="230"/>
      <c r="Q302" s="230"/>
    </row>
    <row r="303" spans="1:17" ht="12.75">
      <c r="A303" s="232"/>
      <c r="B303" s="230"/>
      <c r="C303" s="230"/>
      <c r="D303" s="230"/>
      <c r="E303" s="230"/>
      <c r="F303" s="230"/>
      <c r="G303" s="230"/>
      <c r="J303" s="230"/>
      <c r="K303" s="230"/>
      <c r="L303" s="230"/>
      <c r="M303" s="230"/>
      <c r="N303" s="230"/>
      <c r="O303" s="230"/>
      <c r="P303" s="230"/>
      <c r="Q303" s="230"/>
    </row>
    <row r="304" spans="1:17" ht="12.75">
      <c r="A304" s="232"/>
      <c r="B304" s="395" t="str">
        <f>CONCATENATE("l = ",B11," m")</f>
        <v>l = 5,5 m</v>
      </c>
      <c r="C304" s="395"/>
      <c r="D304" s="395"/>
      <c r="E304" s="395"/>
      <c r="F304" s="395"/>
      <c r="G304" s="395"/>
      <c r="J304" s="230"/>
      <c r="K304" s="230"/>
      <c r="L304" s="230"/>
      <c r="M304" s="230"/>
      <c r="N304" s="230"/>
      <c r="O304" s="230"/>
      <c r="P304" s="230"/>
      <c r="Q304" s="230"/>
    </row>
    <row r="305" spans="1:17" ht="12.75">
      <c r="A305" s="232"/>
      <c r="J305" s="230"/>
      <c r="K305" s="230"/>
      <c r="L305" s="230"/>
      <c r="M305" s="230"/>
      <c r="N305" s="230"/>
      <c r="O305" s="230"/>
      <c r="P305" s="230"/>
      <c r="Q305" s="230"/>
    </row>
    <row r="306" spans="1:17" ht="12.75">
      <c r="A306" s="232"/>
      <c r="B306" s="396">
        <f>0.5*B301*B301*(B20*B21/1000000*25*1.35)</f>
        <v>1.4765625</v>
      </c>
      <c r="C306" s="396"/>
      <c r="F306" s="396">
        <f>0.5*G301*G301*(B20*B21/1000000*25*1.35)</f>
        <v>1.4765625</v>
      </c>
      <c r="G306" s="396"/>
      <c r="J306" s="230"/>
      <c r="K306" s="230"/>
      <c r="L306" s="230"/>
      <c r="M306" s="230"/>
      <c r="N306" s="230"/>
      <c r="O306" s="230"/>
      <c r="P306" s="230"/>
      <c r="Q306" s="230"/>
    </row>
    <row r="307" spans="1:17" ht="12.75">
      <c r="A307" s="232"/>
      <c r="J307" s="230"/>
      <c r="K307" s="230"/>
      <c r="L307" s="230"/>
      <c r="M307" s="230"/>
      <c r="N307" s="230"/>
      <c r="O307" s="230"/>
      <c r="P307" s="230"/>
      <c r="Q307" s="230"/>
    </row>
    <row r="308" spans="1:17" ht="12.75">
      <c r="A308" s="232"/>
      <c r="J308" s="230"/>
      <c r="K308" s="230"/>
      <c r="L308" s="230"/>
      <c r="M308" s="230"/>
      <c r="N308" s="230"/>
      <c r="O308" s="230"/>
      <c r="P308" s="230"/>
      <c r="Q308" s="230"/>
    </row>
    <row r="309" spans="1:17" ht="12.75">
      <c r="A309" s="232"/>
      <c r="J309" s="230"/>
      <c r="K309" s="230"/>
      <c r="L309" s="230"/>
      <c r="M309" s="230"/>
      <c r="N309" s="230"/>
      <c r="O309" s="230"/>
      <c r="P309" s="230"/>
      <c r="Q309" s="230"/>
    </row>
    <row r="310" spans="1:17" ht="12.75">
      <c r="A310" s="232"/>
      <c r="J310" s="230"/>
      <c r="K310" s="230"/>
      <c r="L310" s="230"/>
      <c r="M310" s="230"/>
      <c r="N310" s="230"/>
      <c r="O310" s="230"/>
      <c r="P310" s="230"/>
      <c r="Q310" s="230"/>
    </row>
    <row r="311" spans="1:17" ht="12.75">
      <c r="A311" s="232"/>
      <c r="J311" s="230"/>
      <c r="K311" s="230"/>
      <c r="L311" s="230"/>
      <c r="M311" s="230"/>
      <c r="N311" s="230"/>
      <c r="O311" s="230"/>
      <c r="P311" s="230"/>
      <c r="Q311" s="230"/>
    </row>
    <row r="312" spans="1:21" ht="12.75">
      <c r="A312" s="232"/>
      <c r="J312" s="230"/>
      <c r="K312" s="230"/>
      <c r="L312" s="230"/>
      <c r="M312" s="230"/>
      <c r="N312" s="230"/>
      <c r="O312" s="230"/>
      <c r="P312" s="230"/>
      <c r="Q312" s="230"/>
      <c r="S312" s="232" t="s">
        <v>281</v>
      </c>
      <c r="T312" s="224">
        <f>IF(T196=2,T195,T197)</f>
        <v>1140</v>
      </c>
      <c r="U312" s="232" t="s">
        <v>156</v>
      </c>
    </row>
    <row r="313" spans="1:20" ht="12.75">
      <c r="A313" s="232"/>
      <c r="E313" s="350"/>
      <c r="J313" s="230"/>
      <c r="K313" s="230"/>
      <c r="L313" s="230"/>
      <c r="M313" s="230"/>
      <c r="N313" s="230"/>
      <c r="O313" s="230"/>
      <c r="P313" s="230"/>
      <c r="Q313" s="230"/>
      <c r="S313" s="232" t="s">
        <v>236</v>
      </c>
      <c r="T313" s="224">
        <f>T312*F70/B21/0.8/C72</f>
        <v>123.91304347826087</v>
      </c>
    </row>
    <row r="314" spans="1:20" ht="12.75">
      <c r="A314" s="232"/>
      <c r="D314" s="397">
        <f>1/8*(B20*B21*25*1.35/1000000)*C301^2</f>
        <v>4.52197265625</v>
      </c>
      <c r="E314" s="397"/>
      <c r="J314" s="230"/>
      <c r="K314" s="230"/>
      <c r="L314" s="230"/>
      <c r="M314" s="230"/>
      <c r="N314" s="230"/>
      <c r="O314" s="230"/>
      <c r="P314" s="230"/>
      <c r="Q314" s="230"/>
      <c r="S314" s="232" t="s">
        <v>157</v>
      </c>
      <c r="T314" s="224">
        <f>B20-B171-((IF(T196=2,T193,C205))/2)</f>
        <v>304</v>
      </c>
    </row>
    <row r="315" spans="1:20" ht="12.75">
      <c r="A315" s="232"/>
      <c r="D315" s="398"/>
      <c r="E315" s="398"/>
      <c r="J315" s="230"/>
      <c r="K315" s="230"/>
      <c r="L315" s="230"/>
      <c r="M315" s="230"/>
      <c r="N315" s="230"/>
      <c r="O315" s="230"/>
      <c r="P315" s="230"/>
      <c r="Q315" s="230"/>
      <c r="S315" s="232" t="s">
        <v>237</v>
      </c>
      <c r="T315" s="224">
        <f>T313/T314</f>
        <v>0.40760869565217395</v>
      </c>
    </row>
    <row r="316" spans="1:20" ht="18">
      <c r="A316" s="231" t="s">
        <v>386</v>
      </c>
      <c r="D316" s="398"/>
      <c r="E316" s="398"/>
      <c r="J316" s="230"/>
      <c r="K316" s="230"/>
      <c r="L316" s="230"/>
      <c r="M316" s="230"/>
      <c r="N316" s="230"/>
      <c r="O316" s="230"/>
      <c r="P316" s="230"/>
      <c r="Q316" s="230"/>
      <c r="S316" s="232" t="s">
        <v>176</v>
      </c>
      <c r="T316" s="224">
        <f>T314-0.5*T313</f>
        <v>242.04347826086956</v>
      </c>
    </row>
    <row r="317" spans="1:20" ht="12.75">
      <c r="A317" s="232"/>
      <c r="C317" s="227" t="s">
        <v>387</v>
      </c>
      <c r="D317" s="336"/>
      <c r="E317" s="336"/>
      <c r="F317" s="399" t="str">
        <f>CONCATENATE("Med = ",ROUND(D314,2),"kNm ",T318," ",ROUND(T317,2)," kNm = Mrd")</f>
        <v>Med = 4,52kNm &lt; 119,97 kNm = Mrd</v>
      </c>
      <c r="G317" s="336"/>
      <c r="H317" s="336"/>
      <c r="J317" s="230"/>
      <c r="K317" s="230"/>
      <c r="L317" s="230"/>
      <c r="M317" s="230"/>
      <c r="N317" s="230"/>
      <c r="O317" s="230"/>
      <c r="P317" s="230"/>
      <c r="Q317" s="230"/>
      <c r="S317" s="232" t="s">
        <v>282</v>
      </c>
      <c r="T317" s="224">
        <f>T312*F70*T316/1000/1000</f>
        <v>119.96937618147449</v>
      </c>
    </row>
    <row r="318" spans="1:20" ht="12.75">
      <c r="A318" s="232"/>
      <c r="D318" s="398"/>
      <c r="F318" s="294" t="str">
        <f>IF(D314&lt;T317,"OK","Not satisfy!")</f>
        <v>OK</v>
      </c>
      <c r="J318" s="230"/>
      <c r="K318" s="230"/>
      <c r="L318" s="230"/>
      <c r="M318" s="230"/>
      <c r="N318" s="230"/>
      <c r="O318" s="230"/>
      <c r="P318" s="230"/>
      <c r="Q318" s="230"/>
      <c r="T318" s="224" t="str">
        <f>IF(D314&lt;T317,"&lt;","&gt;")</f>
        <v>&lt;</v>
      </c>
    </row>
    <row r="319" spans="10:17" ht="12.75">
      <c r="J319" s="230"/>
      <c r="K319" s="230"/>
      <c r="L319" s="230"/>
      <c r="M319" s="230"/>
      <c r="N319" s="230"/>
      <c r="O319" s="230"/>
      <c r="P319" s="230"/>
      <c r="Q319" s="230"/>
    </row>
    <row r="320" spans="3:21" ht="12.75">
      <c r="C320" s="227" t="s">
        <v>388</v>
      </c>
      <c r="D320" s="347"/>
      <c r="E320" s="347" t="str">
        <f>CONCATENATE("Med = ",ROUND(MAX(B306,F306),2),"kNm ",T326," ",ROUND(T325,2)," kNm = Mrd")</f>
        <v>Med = 1,48kNm &lt; 20,58 kNm = Mrd</v>
      </c>
      <c r="F320" s="347"/>
      <c r="G320" s="347"/>
      <c r="H320" s="347"/>
      <c r="J320" s="230"/>
      <c r="K320" s="230"/>
      <c r="L320" s="230"/>
      <c r="M320" s="230"/>
      <c r="N320" s="230"/>
      <c r="O320" s="230"/>
      <c r="P320" s="230"/>
      <c r="Q320" s="230"/>
      <c r="S320" s="232" t="s">
        <v>281</v>
      </c>
      <c r="T320" s="224">
        <f>Tables!M104</f>
        <v>157</v>
      </c>
      <c r="U320" s="232" t="s">
        <v>156</v>
      </c>
    </row>
    <row r="321" spans="6:20" ht="14.25">
      <c r="F321" s="400" t="str">
        <f>IF(MAX(B306,F306)&lt;T317,"OK, upper reinforcement 2 bars Ø 10","Not satisfy!")</f>
        <v>OK, upper reinforcement 2 bars Ø 10</v>
      </c>
      <c r="J321" s="230"/>
      <c r="K321" s="230"/>
      <c r="L321" s="230"/>
      <c r="M321" s="230"/>
      <c r="N321" s="230"/>
      <c r="O321" s="230"/>
      <c r="P321" s="230"/>
      <c r="Q321" s="230"/>
      <c r="S321" s="232" t="s">
        <v>236</v>
      </c>
      <c r="T321" s="224">
        <f>T320*F70/B21/0.8/C72</f>
        <v>17.065217391304348</v>
      </c>
    </row>
    <row r="322" spans="10:20" ht="12.75">
      <c r="J322" s="230"/>
      <c r="K322" s="230"/>
      <c r="L322" s="230"/>
      <c r="M322" s="230"/>
      <c r="N322" s="230"/>
      <c r="O322" s="230"/>
      <c r="P322" s="230"/>
      <c r="Q322" s="230"/>
      <c r="S322" s="232" t="s">
        <v>157</v>
      </c>
      <c r="T322" s="224">
        <f>B20-B171-10/2</f>
        <v>310</v>
      </c>
    </row>
    <row r="323" spans="1:20" ht="18">
      <c r="A323" s="231" t="s">
        <v>400</v>
      </c>
      <c r="J323" s="230"/>
      <c r="K323" s="230"/>
      <c r="L323" s="230"/>
      <c r="M323" s="230"/>
      <c r="N323" s="230"/>
      <c r="O323" s="230"/>
      <c r="P323" s="230"/>
      <c r="Q323" s="230"/>
      <c r="S323" s="232" t="s">
        <v>237</v>
      </c>
      <c r="T323" s="224">
        <f>T321/T322</f>
        <v>0.05504908835904628</v>
      </c>
    </row>
    <row r="324" spans="7:20" ht="12.75">
      <c r="G324" s="232" t="s">
        <v>389</v>
      </c>
      <c r="J324" s="230"/>
      <c r="K324" s="230"/>
      <c r="L324" s="230"/>
      <c r="M324" s="230"/>
      <c r="N324" s="230"/>
      <c r="O324" s="230"/>
      <c r="P324" s="230"/>
      <c r="Q324" s="230"/>
      <c r="S324" s="232" t="s">
        <v>176</v>
      </c>
      <c r="T324" s="224">
        <f>T322-0.5*T321</f>
        <v>301.4673913043478</v>
      </c>
    </row>
    <row r="325" spans="10:20" ht="12.75">
      <c r="J325" s="230"/>
      <c r="K325" s="230"/>
      <c r="L325" s="230"/>
      <c r="M325" s="230"/>
      <c r="N325" s="229"/>
      <c r="O325" s="230"/>
      <c r="P325" s="230"/>
      <c r="Q325" s="230"/>
      <c r="S325" s="232" t="s">
        <v>282</v>
      </c>
      <c r="T325" s="224">
        <f>T320*F70*T324/1000/1000</f>
        <v>20.578426275992438</v>
      </c>
    </row>
    <row r="326" spans="3:20" ht="12.75">
      <c r="C326" s="224">
        <f>IF(G301&gt;10,"Špatně zadaná hodnota","")</f>
      </c>
      <c r="J326" s="230"/>
      <c r="K326" s="230"/>
      <c r="L326" s="230"/>
      <c r="M326" s="230"/>
      <c r="N326" s="230"/>
      <c r="O326" s="230"/>
      <c r="P326" s="230"/>
      <c r="Q326" s="230"/>
      <c r="T326" s="224" t="str">
        <f>IF(MAX(B306,F306)&lt;T325,"&lt;","&gt;")</f>
        <v>&lt;</v>
      </c>
    </row>
    <row r="327" spans="2:17" ht="12.75">
      <c r="B327" s="227" t="s">
        <v>390</v>
      </c>
      <c r="C327" s="178">
        <v>1.2</v>
      </c>
      <c r="D327" s="232" t="s">
        <v>158</v>
      </c>
      <c r="J327" s="230"/>
      <c r="K327" s="230"/>
      <c r="L327" s="230"/>
      <c r="M327" s="230"/>
      <c r="N327" s="230"/>
      <c r="O327" s="230"/>
      <c r="P327" s="230"/>
      <c r="Q327" s="230"/>
    </row>
    <row r="328" spans="2:17" ht="5.25" customHeight="1">
      <c r="B328" s="386"/>
      <c r="J328" s="230"/>
      <c r="K328" s="230"/>
      <c r="L328" s="230"/>
      <c r="M328" s="230"/>
      <c r="N328" s="230"/>
      <c r="O328" s="230"/>
      <c r="P328" s="230"/>
      <c r="Q328" s="230"/>
    </row>
    <row r="329" spans="2:17" ht="12.75">
      <c r="B329" s="386"/>
      <c r="J329" s="230"/>
      <c r="K329" s="230"/>
      <c r="L329" s="230"/>
      <c r="M329" s="230"/>
      <c r="N329" s="230"/>
      <c r="O329" s="230"/>
      <c r="P329" s="230"/>
      <c r="Q329" s="230"/>
    </row>
    <row r="330" spans="2:17" ht="14.25">
      <c r="B330" s="227" t="s">
        <v>391</v>
      </c>
      <c r="C330" s="401">
        <f>C327*B10+2*(B24/1000*B10)</f>
        <v>0</v>
      </c>
      <c r="D330" s="232" t="s">
        <v>306</v>
      </c>
      <c r="J330" s="230"/>
      <c r="K330" s="230"/>
      <c r="L330" s="230"/>
      <c r="M330" s="230"/>
      <c r="N330" s="230"/>
      <c r="O330" s="230"/>
      <c r="P330" s="230"/>
      <c r="Q330" s="230"/>
    </row>
    <row r="331" spans="2:17" ht="12.75">
      <c r="B331" s="227" t="s">
        <v>392</v>
      </c>
      <c r="C331" s="187" t="s">
        <v>442</v>
      </c>
      <c r="D331" s="187"/>
      <c r="E331" s="187"/>
      <c r="J331" s="230"/>
      <c r="K331" s="230"/>
      <c r="L331" s="230"/>
      <c r="M331" s="230"/>
      <c r="N331" s="230"/>
      <c r="O331" s="230"/>
      <c r="P331" s="230"/>
      <c r="Q331" s="230"/>
    </row>
    <row r="332" spans="2:17" ht="3" customHeight="1">
      <c r="B332" s="385"/>
      <c r="C332" s="385"/>
      <c r="D332" s="385"/>
      <c r="E332" s="385"/>
      <c r="J332" s="230"/>
      <c r="K332" s="230"/>
      <c r="L332" s="230"/>
      <c r="M332" s="230"/>
      <c r="N332" s="230"/>
      <c r="O332" s="230"/>
      <c r="P332" s="230"/>
      <c r="Q332" s="230"/>
    </row>
    <row r="333" spans="2:17" ht="12.75">
      <c r="B333" s="227" t="s">
        <v>393</v>
      </c>
      <c r="C333" s="173">
        <v>30</v>
      </c>
      <c r="D333" s="335" t="s">
        <v>278</v>
      </c>
      <c r="J333" s="230"/>
      <c r="K333" s="230"/>
      <c r="L333" s="230"/>
      <c r="M333" s="230"/>
      <c r="N333" s="230"/>
      <c r="O333" s="230"/>
      <c r="P333" s="230"/>
      <c r="Q333" s="230"/>
    </row>
    <row r="334" spans="10:17" ht="12.75">
      <c r="J334" s="230"/>
      <c r="K334" s="230"/>
      <c r="L334" s="230"/>
      <c r="M334" s="230"/>
      <c r="N334" s="230"/>
      <c r="O334" s="230"/>
      <c r="P334" s="230"/>
      <c r="Q334" s="230"/>
    </row>
    <row r="335" spans="10:17" ht="12.75">
      <c r="J335" s="230"/>
      <c r="K335" s="230"/>
      <c r="L335" s="230"/>
      <c r="M335" s="230"/>
      <c r="N335" s="230"/>
      <c r="O335" s="230"/>
      <c r="P335" s="230"/>
      <c r="Q335" s="230"/>
    </row>
    <row r="336" spans="10:17" ht="12.75">
      <c r="J336" s="230"/>
      <c r="K336" s="230"/>
      <c r="L336" s="230"/>
      <c r="M336" s="230"/>
      <c r="N336" s="230"/>
      <c r="O336" s="230"/>
      <c r="P336" s="230"/>
      <c r="Q336" s="230"/>
    </row>
    <row r="337" spans="10:17" ht="12.75">
      <c r="J337" s="230"/>
      <c r="K337" s="230"/>
      <c r="L337" s="230"/>
      <c r="M337" s="230"/>
      <c r="N337" s="230"/>
      <c r="O337" s="230"/>
      <c r="P337" s="230"/>
      <c r="Q337" s="230"/>
    </row>
    <row r="338" spans="10:17" ht="12.75">
      <c r="J338" s="230"/>
      <c r="K338" s="230"/>
      <c r="L338" s="230"/>
      <c r="M338" s="230"/>
      <c r="N338" s="230"/>
      <c r="O338" s="230"/>
      <c r="P338" s="230"/>
      <c r="Q338" s="230"/>
    </row>
    <row r="339" spans="10:19" ht="12.75">
      <c r="J339" s="230"/>
      <c r="K339" s="230"/>
      <c r="L339" s="230"/>
      <c r="M339" s="230"/>
      <c r="N339" s="230"/>
      <c r="O339" s="230"/>
      <c r="P339" s="230"/>
      <c r="Q339" s="230"/>
      <c r="R339" s="232" t="s">
        <v>447</v>
      </c>
      <c r="S339" s="224">
        <f>RADIANS(C333)</f>
        <v>0.5235987755982988</v>
      </c>
    </row>
    <row r="340" spans="10:21" ht="12.75">
      <c r="J340" s="230"/>
      <c r="K340" s="230"/>
      <c r="L340" s="230"/>
      <c r="M340" s="230"/>
      <c r="N340" s="230"/>
      <c r="O340" s="230"/>
      <c r="P340" s="230"/>
      <c r="Q340" s="230"/>
      <c r="U340" s="232" t="s">
        <v>449</v>
      </c>
    </row>
    <row r="341" spans="10:21" ht="12.75">
      <c r="J341" s="230"/>
      <c r="K341" s="230"/>
      <c r="L341" s="230"/>
      <c r="M341" s="230"/>
      <c r="N341" s="230"/>
      <c r="O341" s="230"/>
      <c r="P341" s="230"/>
      <c r="Q341" s="230"/>
      <c r="U341" s="232" t="s">
        <v>450</v>
      </c>
    </row>
    <row r="342" spans="10:19" ht="12.75">
      <c r="J342" s="230"/>
      <c r="K342" s="230"/>
      <c r="L342" s="230"/>
      <c r="M342" s="230"/>
      <c r="N342" s="230"/>
      <c r="O342" s="230"/>
      <c r="P342" s="230"/>
      <c r="Q342" s="230"/>
      <c r="R342" s="232" t="s">
        <v>448</v>
      </c>
      <c r="S342" s="224">
        <f>25*B24/1000*C327</f>
        <v>1.5</v>
      </c>
    </row>
    <row r="343" spans="10:17" ht="12.75">
      <c r="J343" s="230"/>
      <c r="K343" s="230"/>
      <c r="L343" s="230"/>
      <c r="M343" s="230"/>
      <c r="N343" s="230"/>
      <c r="O343" s="230"/>
      <c r="P343" s="230"/>
      <c r="Q343" s="230"/>
    </row>
    <row r="344" spans="10:17" ht="12.75">
      <c r="J344" s="230"/>
      <c r="K344" s="230"/>
      <c r="L344" s="230"/>
      <c r="M344" s="230"/>
      <c r="N344" s="230"/>
      <c r="O344" s="230"/>
      <c r="P344" s="230"/>
      <c r="Q344" s="230"/>
    </row>
    <row r="345" spans="10:17" ht="12.75">
      <c r="J345" s="230"/>
      <c r="K345" s="230"/>
      <c r="L345" s="230"/>
      <c r="M345" s="230"/>
      <c r="N345" s="230"/>
      <c r="O345" s="230"/>
      <c r="P345" s="230"/>
      <c r="Q345" s="230"/>
    </row>
    <row r="346" spans="10:17" ht="12.75">
      <c r="J346" s="230"/>
      <c r="K346" s="230"/>
      <c r="L346" s="230"/>
      <c r="M346" s="230"/>
      <c r="N346" s="230"/>
      <c r="O346" s="230"/>
      <c r="P346" s="230"/>
      <c r="Q346" s="230"/>
    </row>
    <row r="347" spans="10:19" ht="12.75">
      <c r="J347" s="230"/>
      <c r="K347" s="230"/>
      <c r="L347" s="230"/>
      <c r="M347" s="230"/>
      <c r="N347" s="230"/>
      <c r="O347" s="230"/>
      <c r="P347" s="230"/>
      <c r="Q347" s="230"/>
      <c r="S347" s="224">
        <v>1</v>
      </c>
    </row>
    <row r="348" spans="10:19" ht="12.75">
      <c r="J348" s="230"/>
      <c r="K348" s="230"/>
      <c r="L348" s="230"/>
      <c r="M348" s="230"/>
      <c r="N348" s="230"/>
      <c r="O348" s="230"/>
      <c r="P348" s="230"/>
      <c r="Q348" s="230"/>
      <c r="R348" s="232" t="s">
        <v>256</v>
      </c>
      <c r="S348" s="224">
        <f>IF(S347=1,2,4)</f>
        <v>2</v>
      </c>
    </row>
    <row r="349" spans="3:17" ht="12.75">
      <c r="C349" s="318"/>
      <c r="D349" s="318"/>
      <c r="E349" s="318"/>
      <c r="F349" s="318"/>
      <c r="J349" s="230"/>
      <c r="K349" s="230"/>
      <c r="L349" s="230"/>
      <c r="M349" s="230"/>
      <c r="N349" s="230"/>
      <c r="O349" s="230"/>
      <c r="P349" s="230"/>
      <c r="Q349" s="230"/>
    </row>
    <row r="350" spans="10:17" ht="12.75">
      <c r="J350" s="230"/>
      <c r="K350" s="230"/>
      <c r="L350" s="230"/>
      <c r="M350" s="230"/>
      <c r="N350" s="230"/>
      <c r="O350" s="230"/>
      <c r="P350" s="230"/>
      <c r="Q350" s="230"/>
    </row>
    <row r="351" spans="3:17" ht="12.75">
      <c r="C351" s="227" t="s">
        <v>378</v>
      </c>
      <c r="D351" s="187" t="s">
        <v>457</v>
      </c>
      <c r="E351" s="187"/>
      <c r="F351" s="187"/>
      <c r="G351" s="187"/>
      <c r="H351" s="187"/>
      <c r="J351" s="230"/>
      <c r="K351" s="230"/>
      <c r="L351" s="230"/>
      <c r="M351" s="230"/>
      <c r="N351" s="230"/>
      <c r="O351" s="230"/>
      <c r="P351" s="230"/>
      <c r="Q351" s="230"/>
    </row>
    <row r="352" spans="3:17" ht="12.75">
      <c r="C352" s="386"/>
      <c r="J352" s="230"/>
      <c r="K352" s="230"/>
      <c r="L352" s="230"/>
      <c r="M352" s="230"/>
      <c r="N352" s="230"/>
      <c r="O352" s="230"/>
      <c r="P352" s="230"/>
      <c r="Q352" s="230"/>
    </row>
    <row r="353" spans="3:20" ht="12.75">
      <c r="C353" s="227" t="s">
        <v>376</v>
      </c>
      <c r="E353" s="356"/>
      <c r="H353" s="357">
        <f>((VLOOKUP(D351,S268:W271,5,FALSE))*1.35*(S342+C330*(LOOKUP(C331,S259:S261,V259:V261))))/(S348*COS(S339))</f>
        <v>1.636788013152589</v>
      </c>
      <c r="I353" s="356" t="s">
        <v>248</v>
      </c>
      <c r="J353" s="230"/>
      <c r="K353" s="230"/>
      <c r="L353" s="230"/>
      <c r="M353" s="230"/>
      <c r="N353" s="230"/>
      <c r="O353" s="230"/>
      <c r="P353" s="230"/>
      <c r="Q353" s="230"/>
      <c r="R353" s="232" t="s">
        <v>280</v>
      </c>
      <c r="S353" s="224">
        <f>MAX(H353,H357)/COS(T364)</f>
        <v>3.3068111527572905</v>
      </c>
      <c r="T353" s="232" t="s">
        <v>248</v>
      </c>
    </row>
    <row r="354" spans="3:19" ht="12.75">
      <c r="C354" s="386"/>
      <c r="I354" s="344"/>
      <c r="J354" s="230"/>
      <c r="K354" s="230"/>
      <c r="L354" s="230"/>
      <c r="M354" s="230"/>
      <c r="N354" s="230"/>
      <c r="O354" s="230"/>
      <c r="P354" s="230"/>
      <c r="Q354" s="230"/>
      <c r="R354" s="232" t="s">
        <v>256</v>
      </c>
      <c r="S354" s="224">
        <f>CEILING(E374/(PI()*6^2/4),1)</f>
        <v>1</v>
      </c>
    </row>
    <row r="355" spans="3:17" ht="12.75">
      <c r="C355" s="227" t="s">
        <v>379</v>
      </c>
      <c r="D355" s="187" t="s">
        <v>446</v>
      </c>
      <c r="E355" s="187"/>
      <c r="F355" s="187"/>
      <c r="G355" s="187"/>
      <c r="H355" s="187"/>
      <c r="I355" s="344"/>
      <c r="J355" s="230"/>
      <c r="K355" s="230"/>
      <c r="L355" s="230"/>
      <c r="M355" s="230"/>
      <c r="N355" s="230"/>
      <c r="O355" s="230"/>
      <c r="P355" s="230"/>
      <c r="Q355" s="230"/>
    </row>
    <row r="356" spans="3:17" ht="12.75">
      <c r="C356" s="386"/>
      <c r="I356" s="344"/>
      <c r="J356" s="230"/>
      <c r="K356" s="230"/>
      <c r="L356" s="230"/>
      <c r="M356" s="230"/>
      <c r="N356" s="230"/>
      <c r="O356" s="230"/>
      <c r="P356" s="230"/>
      <c r="Q356" s="230"/>
    </row>
    <row r="357" spans="2:17" ht="12.75">
      <c r="B357" s="386"/>
      <c r="C357" s="227" t="s">
        <v>380</v>
      </c>
      <c r="E357" s="356"/>
      <c r="H357" s="357">
        <f>((VLOOKUP(D355,S268:W271,5,FALSE))*1.35*(S342))/(S348*COS(S339))</f>
        <v>2.3382685902179845</v>
      </c>
      <c r="I357" s="356" t="s">
        <v>248</v>
      </c>
      <c r="J357" s="230"/>
      <c r="K357" s="230"/>
      <c r="L357" s="230"/>
      <c r="M357" s="230"/>
      <c r="N357" s="230"/>
      <c r="O357" s="230"/>
      <c r="P357" s="230"/>
      <c r="Q357" s="230"/>
    </row>
    <row r="358" spans="1:17" ht="15">
      <c r="A358" s="387">
        <v>5</v>
      </c>
      <c r="D358" s="386"/>
      <c r="J358" s="230"/>
      <c r="K358" s="230"/>
      <c r="L358" s="230"/>
      <c r="M358" s="230"/>
      <c r="N358" s="230"/>
      <c r="O358" s="230"/>
      <c r="P358" s="230"/>
      <c r="Q358" s="230"/>
    </row>
    <row r="359" spans="10:17" ht="12.75">
      <c r="J359" s="230"/>
      <c r="K359" s="230"/>
      <c r="L359" s="230"/>
      <c r="M359" s="230"/>
      <c r="N359" s="230"/>
      <c r="O359" s="230"/>
      <c r="P359" s="230"/>
      <c r="Q359" s="230"/>
    </row>
    <row r="360" spans="1:17" ht="15">
      <c r="A360" s="232" t="s">
        <v>394</v>
      </c>
      <c r="B360" s="386"/>
      <c r="G360" s="380"/>
      <c r="J360" s="230"/>
      <c r="K360" s="230"/>
      <c r="L360" s="230"/>
      <c r="M360" s="230"/>
      <c r="N360" s="230"/>
      <c r="O360" s="230"/>
      <c r="P360" s="230"/>
      <c r="Q360" s="230"/>
    </row>
    <row r="361" spans="1:17" ht="12.75">
      <c r="A361" s="344"/>
      <c r="B361" s="389"/>
      <c r="C361" s="344"/>
      <c r="D361" s="344"/>
      <c r="J361" s="230"/>
      <c r="K361" s="230"/>
      <c r="L361" s="230"/>
      <c r="M361" s="230"/>
      <c r="N361" s="230"/>
      <c r="O361" s="230"/>
      <c r="P361" s="230"/>
      <c r="Q361" s="230"/>
    </row>
    <row r="362" spans="1:17" ht="12.75">
      <c r="A362" s="344"/>
      <c r="B362" s="389"/>
      <c r="C362" s="344"/>
      <c r="D362" s="344"/>
      <c r="G362" s="232" t="s">
        <v>381</v>
      </c>
      <c r="J362" s="230"/>
      <c r="K362" s="230"/>
      <c r="L362" s="230"/>
      <c r="M362" s="230"/>
      <c r="N362" s="230"/>
      <c r="O362" s="230"/>
      <c r="P362" s="230"/>
      <c r="Q362" s="230"/>
    </row>
    <row r="363" spans="1:17" ht="12.75">
      <c r="A363" s="344"/>
      <c r="B363" s="389"/>
      <c r="C363" s="344"/>
      <c r="D363" s="344"/>
      <c r="J363" s="230"/>
      <c r="K363" s="230"/>
      <c r="L363" s="230"/>
      <c r="M363" s="230"/>
      <c r="N363" s="230"/>
      <c r="O363" s="230"/>
      <c r="P363" s="230"/>
      <c r="Q363" s="230"/>
    </row>
    <row r="364" spans="10:20" ht="12.75">
      <c r="J364" s="230"/>
      <c r="K364" s="230"/>
      <c r="L364" s="230"/>
      <c r="M364" s="230"/>
      <c r="N364" s="230"/>
      <c r="O364" s="230"/>
      <c r="P364" s="230"/>
      <c r="Q364" s="230"/>
      <c r="S364" s="232" t="s">
        <v>447</v>
      </c>
      <c r="T364" s="224">
        <f>RADIANS(H372)</f>
        <v>0.7853981633974483</v>
      </c>
    </row>
    <row r="365" spans="2:17" ht="12.75">
      <c r="B365" s="386"/>
      <c r="J365" s="230"/>
      <c r="K365" s="230"/>
      <c r="L365" s="230"/>
      <c r="M365" s="230"/>
      <c r="N365" s="230"/>
      <c r="O365" s="230"/>
      <c r="P365" s="230"/>
      <c r="Q365" s="230"/>
    </row>
    <row r="366" spans="10:17" ht="12.75">
      <c r="J366" s="230"/>
      <c r="K366" s="230"/>
      <c r="L366" s="230"/>
      <c r="M366" s="230"/>
      <c r="N366" s="230"/>
      <c r="O366" s="230"/>
      <c r="P366" s="230"/>
      <c r="Q366" s="230"/>
    </row>
    <row r="367" spans="10:17" ht="12.75">
      <c r="J367" s="230"/>
      <c r="K367" s="230"/>
      <c r="L367" s="230"/>
      <c r="M367" s="230"/>
      <c r="N367" s="230"/>
      <c r="O367" s="230"/>
      <c r="P367" s="230"/>
      <c r="Q367" s="230"/>
    </row>
    <row r="368" spans="10:17" ht="12.75">
      <c r="J368" s="230"/>
      <c r="K368" s="230"/>
      <c r="L368" s="230"/>
      <c r="M368" s="230"/>
      <c r="N368" s="230"/>
      <c r="O368" s="230"/>
      <c r="P368" s="230"/>
      <c r="Q368" s="230"/>
    </row>
    <row r="369" spans="10:17" ht="12.75">
      <c r="J369" s="230"/>
      <c r="K369" s="230"/>
      <c r="L369" s="230"/>
      <c r="M369" s="230"/>
      <c r="N369" s="230"/>
      <c r="O369" s="230"/>
      <c r="P369" s="230"/>
      <c r="Q369" s="230"/>
    </row>
    <row r="370" spans="10:17" ht="12.75">
      <c r="J370" s="230"/>
      <c r="K370" s="230"/>
      <c r="L370" s="230"/>
      <c r="M370" s="230"/>
      <c r="N370" s="230"/>
      <c r="O370" s="230"/>
      <c r="P370" s="230"/>
      <c r="Q370" s="230"/>
    </row>
    <row r="371" spans="10:17" ht="12.75">
      <c r="J371" s="230"/>
      <c r="K371" s="230"/>
      <c r="L371" s="230"/>
      <c r="M371" s="230"/>
      <c r="N371" s="230"/>
      <c r="O371" s="230"/>
      <c r="P371" s="230"/>
      <c r="Q371" s="230"/>
    </row>
    <row r="372" spans="7:17" ht="12.75">
      <c r="G372" s="338" t="s">
        <v>279</v>
      </c>
      <c r="H372" s="178">
        <v>45</v>
      </c>
      <c r="I372" s="335" t="s">
        <v>278</v>
      </c>
      <c r="J372" s="230"/>
      <c r="K372" s="230"/>
      <c r="L372" s="230"/>
      <c r="M372" s="230"/>
      <c r="N372" s="230"/>
      <c r="O372" s="230"/>
      <c r="P372" s="230"/>
      <c r="Q372" s="230"/>
    </row>
    <row r="373" spans="10:17" ht="12.75">
      <c r="J373" s="230"/>
      <c r="K373" s="230"/>
      <c r="L373" s="230"/>
      <c r="M373" s="230"/>
      <c r="N373" s="230"/>
      <c r="O373" s="230"/>
      <c r="P373" s="230"/>
      <c r="Q373" s="230"/>
    </row>
    <row r="374" spans="1:17" ht="12.75">
      <c r="A374" s="232" t="s">
        <v>382</v>
      </c>
      <c r="E374" s="350">
        <f>S353*1000/((0.05*6+0.3)*F70)</f>
        <v>12.676109418902945</v>
      </c>
      <c r="F374" s="232" t="s">
        <v>156</v>
      </c>
      <c r="J374" s="230"/>
      <c r="K374" s="230"/>
      <c r="L374" s="230"/>
      <c r="M374" s="230"/>
      <c r="N374" s="230"/>
      <c r="O374" s="230"/>
      <c r="P374" s="230"/>
      <c r="Q374" s="230"/>
    </row>
    <row r="375" spans="10:17" ht="12.75">
      <c r="J375" s="230"/>
      <c r="K375" s="230"/>
      <c r="L375" s="230"/>
      <c r="M375" s="230"/>
      <c r="N375" s="230"/>
      <c r="O375" s="230"/>
      <c r="P375" s="230"/>
      <c r="Q375" s="230"/>
    </row>
    <row r="376" spans="1:17" ht="12.75">
      <c r="A376" s="232"/>
      <c r="B376" s="347" t="str">
        <f>CONCATENATE("Number of handles required for attachment on one side ",S354," pieces.")</f>
        <v>Number of handles required for attachment on one side 1 pieces.</v>
      </c>
      <c r="C376" s="336"/>
      <c r="D376" s="336"/>
      <c r="E376" s="336"/>
      <c r="F376" s="336"/>
      <c r="G376" s="336"/>
      <c r="J376" s="230"/>
      <c r="K376" s="230"/>
      <c r="L376" s="230"/>
      <c r="M376" s="230"/>
      <c r="N376" s="230"/>
      <c r="O376" s="230"/>
      <c r="P376" s="230"/>
      <c r="Q376" s="230"/>
    </row>
    <row r="377" spans="10:17" ht="12.75">
      <c r="J377" s="230"/>
      <c r="K377" s="230"/>
      <c r="L377" s="230"/>
      <c r="M377" s="230"/>
      <c r="N377" s="230"/>
      <c r="O377" s="230"/>
      <c r="P377" s="230"/>
      <c r="Q377" s="230"/>
    </row>
    <row r="378" spans="1:17" ht="18">
      <c r="A378" s="231" t="s">
        <v>396</v>
      </c>
      <c r="J378" s="230"/>
      <c r="K378" s="230"/>
      <c r="L378" s="230"/>
      <c r="M378" s="230"/>
      <c r="N378" s="230"/>
      <c r="O378" s="230"/>
      <c r="P378" s="230"/>
      <c r="Q378" s="230"/>
    </row>
    <row r="379" spans="10:17" ht="12.75">
      <c r="J379" s="230"/>
      <c r="K379" s="230"/>
      <c r="L379" s="230"/>
      <c r="M379" s="230"/>
      <c r="N379" s="230"/>
      <c r="O379" s="230"/>
      <c r="P379" s="230"/>
      <c r="Q379" s="230"/>
    </row>
    <row r="380" spans="10:17" ht="12.75">
      <c r="J380" s="230"/>
      <c r="K380" s="230"/>
      <c r="L380" s="230"/>
      <c r="M380" s="230"/>
      <c r="N380" s="230"/>
      <c r="O380" s="230"/>
      <c r="P380" s="230"/>
      <c r="Q380" s="230"/>
    </row>
    <row r="381" spans="1:17" ht="18.75" thickBot="1">
      <c r="A381" s="231" t="s">
        <v>397</v>
      </c>
      <c r="J381" s="230"/>
      <c r="K381" s="230"/>
      <c r="L381" s="230"/>
      <c r="M381" s="230"/>
      <c r="N381" s="230"/>
      <c r="O381" s="230"/>
      <c r="P381" s="230"/>
      <c r="Q381" s="230"/>
    </row>
    <row r="382" spans="1:17" ht="39.75">
      <c r="A382" s="402" t="s">
        <v>329</v>
      </c>
      <c r="B382" s="403"/>
      <c r="C382" s="255" t="s">
        <v>322</v>
      </c>
      <c r="D382" s="255" t="s">
        <v>324</v>
      </c>
      <c r="E382" s="255" t="s">
        <v>398</v>
      </c>
      <c r="F382" s="255" t="s">
        <v>399</v>
      </c>
      <c r="G382" s="256" t="s">
        <v>327</v>
      </c>
      <c r="J382" s="230"/>
      <c r="K382" s="230"/>
      <c r="L382" s="230"/>
      <c r="M382" s="230"/>
      <c r="N382" s="230"/>
      <c r="O382" s="230"/>
      <c r="P382" s="230"/>
      <c r="Q382" s="230"/>
    </row>
    <row r="383" spans="1:17" ht="12.75">
      <c r="A383" s="404" t="s">
        <v>333</v>
      </c>
      <c r="B383" s="405"/>
      <c r="C383" s="406">
        <f>B27-B24</f>
        <v>100</v>
      </c>
      <c r="D383" s="265">
        <v>2500</v>
      </c>
      <c r="E383" s="261">
        <f>D383*C383/100000</f>
        <v>2.5</v>
      </c>
      <c r="F383" s="261">
        <v>1.35</v>
      </c>
      <c r="G383" s="262">
        <f>E383*F383</f>
        <v>3.375</v>
      </c>
      <c r="J383" s="230"/>
      <c r="K383" s="230"/>
      <c r="L383" s="230"/>
      <c r="M383" s="230"/>
      <c r="N383" s="230"/>
      <c r="O383" s="230"/>
      <c r="P383" s="230"/>
      <c r="Q383" s="230"/>
    </row>
    <row r="384" spans="1:17" ht="12.75">
      <c r="A384" s="404" t="s">
        <v>334</v>
      </c>
      <c r="B384" s="405"/>
      <c r="C384" s="406">
        <f>B24</f>
        <v>50</v>
      </c>
      <c r="D384" s="265">
        <v>2500</v>
      </c>
      <c r="E384" s="261">
        <f>D384*C384/100000</f>
        <v>1.25</v>
      </c>
      <c r="F384" s="261">
        <v>1.35</v>
      </c>
      <c r="G384" s="262">
        <f>E384*F384</f>
        <v>1.6875</v>
      </c>
      <c r="J384" s="230"/>
      <c r="K384" s="230"/>
      <c r="L384" s="230"/>
      <c r="M384" s="230"/>
      <c r="N384" s="230"/>
      <c r="O384" s="230"/>
      <c r="P384" s="230"/>
      <c r="Q384" s="230"/>
    </row>
    <row r="385" spans="1:17" ht="15">
      <c r="A385" s="407" t="s">
        <v>336</v>
      </c>
      <c r="B385" s="408"/>
      <c r="C385" s="409"/>
      <c r="D385" s="271" t="s">
        <v>159</v>
      </c>
      <c r="E385" s="272">
        <f>SUM(E383:E384)</f>
        <v>3.75</v>
      </c>
      <c r="F385" s="273" t="s">
        <v>159</v>
      </c>
      <c r="G385" s="410">
        <f>SUM(G383:G384)</f>
        <v>5.0625</v>
      </c>
      <c r="J385" s="230"/>
      <c r="K385" s="230"/>
      <c r="L385" s="230"/>
      <c r="M385" s="230"/>
      <c r="N385" s="230"/>
      <c r="O385" s="230"/>
      <c r="P385" s="230"/>
      <c r="Q385" s="230"/>
    </row>
    <row r="386" spans="1:17" ht="5.25" customHeight="1">
      <c r="A386" s="290"/>
      <c r="B386" s="291"/>
      <c r="C386" s="291"/>
      <c r="D386" s="291"/>
      <c r="E386" s="291"/>
      <c r="F386" s="291"/>
      <c r="G386" s="411"/>
      <c r="J386" s="230"/>
      <c r="K386" s="230"/>
      <c r="L386" s="230"/>
      <c r="M386" s="230"/>
      <c r="N386" s="230"/>
      <c r="O386" s="230"/>
      <c r="P386" s="230"/>
      <c r="Q386" s="230"/>
    </row>
    <row r="387" spans="1:17" ht="12.75">
      <c r="A387" s="412" t="s">
        <v>330</v>
      </c>
      <c r="B387" s="413"/>
      <c r="C387" s="409"/>
      <c r="D387" s="409"/>
      <c r="E387" s="409"/>
      <c r="F387" s="409"/>
      <c r="G387" s="414"/>
      <c r="J387" s="230"/>
      <c r="K387" s="230"/>
      <c r="L387" s="230"/>
      <c r="M387" s="230"/>
      <c r="N387" s="230"/>
      <c r="O387" s="230"/>
      <c r="P387" s="230"/>
      <c r="Q387" s="230"/>
    </row>
    <row r="388" spans="1:17" ht="12.75">
      <c r="A388" s="415" t="s">
        <v>401</v>
      </c>
      <c r="B388" s="416"/>
      <c r="C388" s="417"/>
      <c r="D388" s="418"/>
      <c r="E388" s="260">
        <v>0.75</v>
      </c>
      <c r="F388" s="261">
        <v>1.5</v>
      </c>
      <c r="G388" s="262">
        <f>F388*E388</f>
        <v>1.125</v>
      </c>
      <c r="J388" s="230"/>
      <c r="K388" s="230"/>
      <c r="L388" s="230"/>
      <c r="M388" s="230"/>
      <c r="N388" s="230"/>
      <c r="O388" s="230"/>
      <c r="P388" s="230"/>
      <c r="Q388" s="230"/>
    </row>
    <row r="389" spans="1:17" ht="15">
      <c r="A389" s="407" t="s">
        <v>337</v>
      </c>
      <c r="B389" s="419"/>
      <c r="C389" s="287"/>
      <c r="D389" s="271" t="s">
        <v>159</v>
      </c>
      <c r="E389" s="288">
        <f>E388</f>
        <v>0.75</v>
      </c>
      <c r="F389" s="420" t="s">
        <v>159</v>
      </c>
      <c r="G389" s="421">
        <f>G388</f>
        <v>1.125</v>
      </c>
      <c r="J389" s="230"/>
      <c r="K389" s="230"/>
      <c r="L389" s="230"/>
      <c r="M389" s="230"/>
      <c r="N389" s="230"/>
      <c r="O389" s="230"/>
      <c r="P389" s="230"/>
      <c r="Q389" s="230"/>
    </row>
    <row r="390" spans="1:21" ht="5.25" customHeight="1">
      <c r="A390" s="290"/>
      <c r="B390" s="291"/>
      <c r="C390" s="291"/>
      <c r="D390" s="291"/>
      <c r="E390" s="291"/>
      <c r="F390" s="291"/>
      <c r="G390" s="411"/>
      <c r="J390" s="230"/>
      <c r="K390" s="230"/>
      <c r="L390" s="230"/>
      <c r="M390" s="230"/>
      <c r="N390" s="230"/>
      <c r="O390" s="230"/>
      <c r="P390" s="230"/>
      <c r="Q390" s="230"/>
      <c r="S390" s="232" t="s">
        <v>454</v>
      </c>
      <c r="T390" s="224">
        <f>IF(T110=2,T102,T111)</f>
        <v>190</v>
      </c>
      <c r="U390" s="232" t="s">
        <v>177</v>
      </c>
    </row>
    <row r="391" spans="1:22" ht="13.5" thickBot="1">
      <c r="A391" s="422" t="s">
        <v>338</v>
      </c>
      <c r="B391" s="297"/>
      <c r="C391" s="297"/>
      <c r="D391" s="297"/>
      <c r="E391" s="423">
        <f>E389+E385</f>
        <v>4.5</v>
      </c>
      <c r="F391" s="299"/>
      <c r="G391" s="424">
        <f>G389+G385</f>
        <v>6.1875</v>
      </c>
      <c r="J391" s="230"/>
      <c r="K391" s="230"/>
      <c r="L391" s="230"/>
      <c r="M391" s="230"/>
      <c r="N391" s="230"/>
      <c r="O391" s="230"/>
      <c r="P391" s="230"/>
      <c r="Q391" s="230"/>
      <c r="S391" s="232" t="s">
        <v>455</v>
      </c>
      <c r="T391" s="224">
        <f>IF(T129=2,T128,T130)</f>
        <v>190</v>
      </c>
      <c r="U391" s="232" t="s">
        <v>177</v>
      </c>
      <c r="V391" s="232"/>
    </row>
    <row r="392" spans="10:22" ht="12.75">
      <c r="J392" s="230"/>
      <c r="K392" s="230"/>
      <c r="L392" s="230"/>
      <c r="M392" s="230"/>
      <c r="N392" s="230"/>
      <c r="O392" s="230"/>
      <c r="P392" s="230"/>
      <c r="Q392" s="230"/>
      <c r="S392" s="224">
        <v>3</v>
      </c>
      <c r="V392" s="232"/>
    </row>
    <row r="393" spans="10:23" ht="12.75">
      <c r="J393" s="230"/>
      <c r="K393" s="230"/>
      <c r="L393" s="230"/>
      <c r="M393" s="230"/>
      <c r="N393" s="230"/>
      <c r="O393" s="230"/>
      <c r="P393" s="230"/>
      <c r="Q393" s="230"/>
      <c r="V393" s="232" t="s">
        <v>176</v>
      </c>
      <c r="W393" s="224">
        <f>B27-F171*2-IF(T110=2,T99,E106)</f>
        <v>94.5</v>
      </c>
    </row>
    <row r="394" spans="1:22" ht="12.75">
      <c r="A394" s="232" t="s">
        <v>402</v>
      </c>
      <c r="J394" s="230"/>
      <c r="K394" s="230"/>
      <c r="L394" s="230"/>
      <c r="M394" s="230"/>
      <c r="N394" s="230"/>
      <c r="O394" s="230"/>
      <c r="P394" s="230"/>
      <c r="Q394" s="230"/>
      <c r="V394" s="232"/>
    </row>
    <row r="395" spans="10:17" ht="12.75">
      <c r="J395" s="230"/>
      <c r="K395" s="230"/>
      <c r="L395" s="230"/>
      <c r="M395" s="230"/>
      <c r="N395" s="230"/>
      <c r="O395" s="230"/>
      <c r="P395" s="230"/>
      <c r="Q395" s="230"/>
    </row>
    <row r="396" spans="6:17" ht="12.75">
      <c r="F396" s="318"/>
      <c r="G396" s="318"/>
      <c r="H396" s="318"/>
      <c r="J396" s="230"/>
      <c r="K396" s="230"/>
      <c r="L396" s="230"/>
      <c r="M396" s="230"/>
      <c r="N396" s="230"/>
      <c r="O396" s="230"/>
      <c r="P396" s="230"/>
      <c r="Q396" s="230"/>
    </row>
    <row r="397" spans="10:23" ht="12.75">
      <c r="J397" s="230"/>
      <c r="K397" s="230"/>
      <c r="L397" s="230"/>
      <c r="M397" s="230"/>
      <c r="N397" s="230"/>
      <c r="O397" s="230"/>
      <c r="P397" s="230"/>
      <c r="Q397" s="230"/>
      <c r="S397" s="232" t="s">
        <v>451</v>
      </c>
      <c r="T397" s="224">
        <f>1/8*G391*B10^2</f>
        <v>0</v>
      </c>
      <c r="U397" s="232" t="s">
        <v>175</v>
      </c>
      <c r="V397" s="224">
        <f>W393/1000*T391*F70/1000</f>
        <v>7.806521739130436</v>
      </c>
      <c r="W397" s="232" t="s">
        <v>282</v>
      </c>
    </row>
    <row r="398" spans="6:22" ht="14.25">
      <c r="F398" s="348"/>
      <c r="G398" s="348" t="str">
        <f>IF(S392=1,V398," ")</f>
        <v> </v>
      </c>
      <c r="H398" s="348"/>
      <c r="J398" s="230"/>
      <c r="K398" s="230"/>
      <c r="L398" s="230"/>
      <c r="M398" s="230"/>
      <c r="N398" s="230"/>
      <c r="O398" s="230"/>
      <c r="P398" s="230"/>
      <c r="Q398" s="230"/>
      <c r="V398" s="224" t="str">
        <f>IF(V397&gt;T397,"OK","Not satisfy!")</f>
        <v>OK</v>
      </c>
    </row>
    <row r="399" spans="10:17" ht="12.75">
      <c r="J399" s="230"/>
      <c r="K399" s="230"/>
      <c r="L399" s="230"/>
      <c r="M399" s="230"/>
      <c r="N399" s="230"/>
      <c r="O399" s="230"/>
      <c r="P399" s="230"/>
      <c r="Q399" s="230"/>
    </row>
    <row r="400" spans="10:17" ht="12.75">
      <c r="J400" s="230"/>
      <c r="K400" s="230"/>
      <c r="L400" s="230"/>
      <c r="M400" s="230"/>
      <c r="N400" s="230"/>
      <c r="O400" s="230"/>
      <c r="P400" s="230"/>
      <c r="Q400" s="230"/>
    </row>
    <row r="401" spans="6:22" ht="12.75">
      <c r="F401" s="318"/>
      <c r="G401" s="318"/>
      <c r="H401" s="318"/>
      <c r="J401" s="230"/>
      <c r="K401" s="230"/>
      <c r="L401" s="230"/>
      <c r="M401" s="230"/>
      <c r="N401" s="230"/>
      <c r="O401" s="230"/>
      <c r="P401" s="230"/>
      <c r="Q401" s="230"/>
      <c r="S401" s="232" t="s">
        <v>451</v>
      </c>
      <c r="T401" s="224">
        <f>0.0703*G391*(B10/2)^2</f>
        <v>0</v>
      </c>
      <c r="U401" s="232" t="s">
        <v>175</v>
      </c>
      <c r="V401" s="224" t="str">
        <f>IF(V397&gt;(T402*-1),"OK","Not satisfy!")</f>
        <v>OK</v>
      </c>
    </row>
    <row r="402" spans="10:21" ht="12.75">
      <c r="J402" s="230"/>
      <c r="K402" s="230"/>
      <c r="L402" s="230"/>
      <c r="M402" s="230"/>
      <c r="N402" s="230"/>
      <c r="O402" s="230"/>
      <c r="P402" s="230"/>
      <c r="Q402" s="230"/>
      <c r="T402" s="224">
        <f>-0.125*G391*(B10/2)^2</f>
        <v>0</v>
      </c>
      <c r="U402" s="232" t="s">
        <v>175</v>
      </c>
    </row>
    <row r="403" spans="7:21" ht="14.25">
      <c r="G403" s="348" t="str">
        <f>IF(S392=3,V401," ")</f>
        <v>OK</v>
      </c>
      <c r="J403" s="230"/>
      <c r="K403" s="230"/>
      <c r="L403" s="230"/>
      <c r="M403" s="230"/>
      <c r="N403" s="230"/>
      <c r="O403" s="230"/>
      <c r="P403" s="230"/>
      <c r="Q403" s="230"/>
      <c r="S403" s="232" t="s">
        <v>452</v>
      </c>
      <c r="T403" s="224">
        <f>0.625*G391*B10/2</f>
        <v>0</v>
      </c>
      <c r="U403" s="232" t="s">
        <v>248</v>
      </c>
    </row>
    <row r="404" spans="7:20" ht="12.75">
      <c r="G404" s="305" t="str">
        <f>IF(S392=3,T404," ")</f>
        <v>Support reaction 0 kN</v>
      </c>
      <c r="H404" s="305"/>
      <c r="I404" s="305"/>
      <c r="J404" s="230"/>
      <c r="K404" s="230"/>
      <c r="L404" s="230"/>
      <c r="M404" s="230"/>
      <c r="N404" s="230"/>
      <c r="O404" s="230"/>
      <c r="P404" s="230"/>
      <c r="Q404" s="230"/>
      <c r="T404" s="224" t="str">
        <f>CONCATENATE("Support reaction ",ROUND(T403,2)," kN")</f>
        <v>Support reaction 0 kN</v>
      </c>
    </row>
    <row r="405" spans="10:17" ht="12.75">
      <c r="J405" s="230"/>
      <c r="K405" s="230"/>
      <c r="L405" s="230"/>
      <c r="M405" s="230"/>
      <c r="N405" s="230"/>
      <c r="O405" s="230"/>
      <c r="P405" s="230"/>
      <c r="Q405" s="230"/>
    </row>
    <row r="406" spans="10:17" ht="12.75">
      <c r="J406" s="230"/>
      <c r="K406" s="230"/>
      <c r="L406" s="230"/>
      <c r="M406" s="230"/>
      <c r="N406" s="230"/>
      <c r="O406" s="230"/>
      <c r="P406" s="230"/>
      <c r="Q406" s="230"/>
    </row>
    <row r="407" spans="6:22" ht="12.75">
      <c r="F407" s="318"/>
      <c r="G407" s="318"/>
      <c r="H407" s="318"/>
      <c r="J407" s="230"/>
      <c r="K407" s="230"/>
      <c r="L407" s="230"/>
      <c r="M407" s="230"/>
      <c r="N407" s="230"/>
      <c r="O407" s="230"/>
      <c r="P407" s="230"/>
      <c r="Q407" s="230"/>
      <c r="S407" s="232" t="s">
        <v>451</v>
      </c>
      <c r="T407" s="224">
        <f>0.08*G391*(B10/3)^2</f>
        <v>0</v>
      </c>
      <c r="U407" s="232" t="s">
        <v>175</v>
      </c>
      <c r="V407" s="224" t="str">
        <f>IF(V397&gt;(T408*-1),"OK","Not satisfy!")</f>
        <v>OK</v>
      </c>
    </row>
    <row r="408" spans="7:21" ht="14.25">
      <c r="G408" s="348" t="str">
        <f>IF(S392=2,V407," ")</f>
        <v> </v>
      </c>
      <c r="J408" s="230"/>
      <c r="K408" s="230"/>
      <c r="L408" s="230"/>
      <c r="M408" s="230"/>
      <c r="N408" s="230"/>
      <c r="O408" s="230"/>
      <c r="P408" s="230"/>
      <c r="Q408" s="230"/>
      <c r="T408" s="224">
        <f>-0.1*G391*(B10/3)^2</f>
        <v>0</v>
      </c>
      <c r="U408" s="232" t="s">
        <v>175</v>
      </c>
    </row>
    <row r="409" spans="7:21" ht="12.75">
      <c r="G409" s="305" t="str">
        <f>IF(S392=2,T410," ")</f>
        <v> </v>
      </c>
      <c r="H409" s="305"/>
      <c r="I409" s="305"/>
      <c r="J409" s="230"/>
      <c r="K409" s="230"/>
      <c r="L409" s="230"/>
      <c r="M409" s="230"/>
      <c r="N409" s="230"/>
      <c r="O409" s="230"/>
      <c r="P409" s="230"/>
      <c r="Q409" s="230"/>
      <c r="S409" s="232" t="s">
        <v>453</v>
      </c>
      <c r="T409" s="224">
        <f>1.1*G391*(B10/3)</f>
        <v>0</v>
      </c>
      <c r="U409" s="232" t="s">
        <v>248</v>
      </c>
    </row>
    <row r="410" spans="10:20" ht="12.75">
      <c r="J410" s="230"/>
      <c r="K410" s="230"/>
      <c r="L410" s="230"/>
      <c r="M410" s="230"/>
      <c r="N410" s="230"/>
      <c r="O410" s="230"/>
      <c r="P410" s="230"/>
      <c r="Q410" s="230"/>
      <c r="T410" s="224" t="str">
        <f>CONCATENATE("Support reaction ",ROUND(T409,2)," kN")</f>
        <v>Support reaction 0 kN</v>
      </c>
    </row>
    <row r="411" spans="10:17" ht="12.75">
      <c r="J411" s="230"/>
      <c r="K411" s="230"/>
      <c r="L411" s="230"/>
      <c r="M411" s="230"/>
      <c r="N411" s="230"/>
      <c r="O411" s="230"/>
      <c r="P411" s="230"/>
      <c r="Q411" s="230"/>
    </row>
    <row r="412" spans="10:17" ht="12.75">
      <c r="J412" s="230"/>
      <c r="K412" s="230"/>
      <c r="L412" s="230"/>
      <c r="M412" s="230"/>
      <c r="N412" s="230"/>
      <c r="O412" s="230"/>
      <c r="P412" s="230"/>
      <c r="Q412" s="230"/>
    </row>
    <row r="413" spans="10:17" ht="12.75">
      <c r="J413" s="230"/>
      <c r="K413" s="230"/>
      <c r="L413" s="230"/>
      <c r="M413" s="230"/>
      <c r="N413" s="230"/>
      <c r="O413" s="230"/>
      <c r="P413" s="230"/>
      <c r="Q413" s="230"/>
    </row>
    <row r="414" spans="1:17" ht="18">
      <c r="A414" s="231" t="s">
        <v>403</v>
      </c>
      <c r="J414" s="230"/>
      <c r="K414" s="230"/>
      <c r="L414" s="230"/>
      <c r="M414" s="230"/>
      <c r="N414" s="230"/>
      <c r="O414" s="230"/>
      <c r="P414" s="230"/>
      <c r="Q414" s="230"/>
    </row>
    <row r="415" spans="10:19" ht="12.75">
      <c r="J415" s="230"/>
      <c r="K415" s="230"/>
      <c r="L415" s="230"/>
      <c r="M415" s="230"/>
      <c r="N415" s="230"/>
      <c r="O415" s="230"/>
      <c r="P415" s="230"/>
      <c r="Q415" s="230"/>
      <c r="R415" s="232" t="s">
        <v>283</v>
      </c>
      <c r="S415" s="224">
        <f>IF(S392=1,B10,IF(S392=3,B10/2,B10/3))</f>
        <v>0</v>
      </c>
    </row>
    <row r="416" spans="1:17" ht="12.75">
      <c r="A416" s="232"/>
      <c r="J416" s="230"/>
      <c r="K416" s="230"/>
      <c r="L416" s="230"/>
      <c r="M416" s="230"/>
      <c r="N416" s="230"/>
      <c r="O416" s="230"/>
      <c r="P416" s="230"/>
      <c r="Q416" s="230"/>
    </row>
    <row r="417" spans="5:17" ht="12.75">
      <c r="E417" s="232" t="s">
        <v>404</v>
      </c>
      <c r="J417" s="230"/>
      <c r="K417" s="230"/>
      <c r="L417" s="230"/>
      <c r="M417" s="230"/>
      <c r="N417" s="230"/>
      <c r="O417" s="230"/>
      <c r="P417" s="230"/>
      <c r="Q417" s="230"/>
    </row>
    <row r="418" spans="5:17" ht="12.75">
      <c r="E418" s="425" t="s">
        <v>246</v>
      </c>
      <c r="F418" s="357">
        <f>G391*S415</f>
        <v>0</v>
      </c>
      <c r="G418" s="356" t="s">
        <v>247</v>
      </c>
      <c r="J418" s="230"/>
      <c r="K418" s="230"/>
      <c r="L418" s="230"/>
      <c r="M418" s="230"/>
      <c r="N418" s="230"/>
      <c r="O418" s="230"/>
      <c r="P418" s="230"/>
      <c r="Q418" s="230"/>
    </row>
    <row r="419" spans="10:17" ht="12.75">
      <c r="J419" s="230"/>
      <c r="K419" s="230"/>
      <c r="L419" s="230"/>
      <c r="M419" s="230"/>
      <c r="N419" s="230"/>
      <c r="O419" s="230"/>
      <c r="P419" s="230"/>
      <c r="Q419" s="230"/>
    </row>
    <row r="420" spans="10:17" ht="12.75">
      <c r="J420" s="230"/>
      <c r="K420" s="230"/>
      <c r="L420" s="230"/>
      <c r="M420" s="230"/>
      <c r="N420" s="230"/>
      <c r="O420" s="230"/>
      <c r="P420" s="230"/>
      <c r="Q420" s="230"/>
    </row>
    <row r="421" spans="5:17" ht="15.75">
      <c r="E421" s="227" t="s">
        <v>310</v>
      </c>
      <c r="F421" s="351">
        <f>1/8*F418*B11^2</f>
        <v>0</v>
      </c>
      <c r="G421" s="232" t="s">
        <v>175</v>
      </c>
      <c r="J421" s="230"/>
      <c r="K421" s="230"/>
      <c r="L421" s="230"/>
      <c r="M421" s="230"/>
      <c r="N421" s="230"/>
      <c r="O421" s="230"/>
      <c r="P421" s="230"/>
      <c r="Q421" s="230"/>
    </row>
    <row r="422" spans="5:17" ht="15.75">
      <c r="E422" s="227" t="s">
        <v>311</v>
      </c>
      <c r="F422" s="351">
        <f>0.5*F418*B11</f>
        <v>0</v>
      </c>
      <c r="G422" s="232" t="s">
        <v>248</v>
      </c>
      <c r="J422" s="230"/>
      <c r="K422" s="230"/>
      <c r="L422" s="230"/>
      <c r="M422" s="230"/>
      <c r="N422" s="230"/>
      <c r="O422" s="230"/>
      <c r="P422" s="230"/>
      <c r="Q422" s="230"/>
    </row>
    <row r="423" spans="10:17" ht="12.75">
      <c r="J423" s="230"/>
      <c r="K423" s="230"/>
      <c r="L423" s="230"/>
      <c r="M423" s="230"/>
      <c r="N423" s="230"/>
      <c r="O423" s="230"/>
      <c r="P423" s="230"/>
      <c r="Q423" s="230"/>
    </row>
    <row r="424" spans="10:17" ht="12.75">
      <c r="J424" s="230"/>
      <c r="K424" s="230"/>
      <c r="L424" s="230"/>
      <c r="M424" s="230"/>
      <c r="N424" s="230"/>
      <c r="O424" s="230"/>
      <c r="P424" s="230"/>
      <c r="Q424" s="230"/>
    </row>
    <row r="425" spans="10:17" ht="12.75">
      <c r="J425" s="230"/>
      <c r="K425" s="230"/>
      <c r="L425" s="230"/>
      <c r="M425" s="230"/>
      <c r="N425" s="230"/>
      <c r="O425" s="230"/>
      <c r="P425" s="230"/>
      <c r="Q425" s="230"/>
    </row>
    <row r="426" spans="10:17" ht="12.75">
      <c r="J426" s="230"/>
      <c r="K426" s="230"/>
      <c r="L426" s="230"/>
      <c r="M426" s="230"/>
      <c r="N426" s="230"/>
      <c r="O426" s="230"/>
      <c r="P426" s="230"/>
      <c r="Q426" s="230"/>
    </row>
    <row r="427" spans="10:17" ht="12.75">
      <c r="J427" s="230"/>
      <c r="K427" s="230"/>
      <c r="L427" s="230"/>
      <c r="M427" s="230"/>
      <c r="N427" s="230"/>
      <c r="O427" s="230"/>
      <c r="P427" s="230"/>
      <c r="Q427" s="230"/>
    </row>
    <row r="428" spans="10:17" ht="12.75">
      <c r="J428" s="230"/>
      <c r="K428" s="230"/>
      <c r="L428" s="230"/>
      <c r="M428" s="230"/>
      <c r="N428" s="230"/>
      <c r="O428" s="230"/>
      <c r="P428" s="230"/>
      <c r="Q428" s="230"/>
    </row>
    <row r="429" spans="10:17" ht="12.75">
      <c r="J429" s="230"/>
      <c r="K429" s="230"/>
      <c r="L429" s="230"/>
      <c r="M429" s="230"/>
      <c r="N429" s="230"/>
      <c r="O429" s="230"/>
      <c r="P429" s="230"/>
      <c r="Q429" s="230"/>
    </row>
    <row r="430" spans="10:17" ht="12.75">
      <c r="J430" s="230"/>
      <c r="K430" s="230"/>
      <c r="L430" s="230"/>
      <c r="M430" s="230"/>
      <c r="N430" s="230"/>
      <c r="O430" s="230"/>
      <c r="P430" s="230"/>
      <c r="Q430" s="230"/>
    </row>
    <row r="431" spans="10:17" ht="12.75">
      <c r="J431" s="230"/>
      <c r="K431" s="230"/>
      <c r="L431" s="230"/>
      <c r="M431" s="230"/>
      <c r="N431" s="230"/>
      <c r="O431" s="230"/>
      <c r="P431" s="230"/>
      <c r="Q431" s="230"/>
    </row>
    <row r="432" spans="10:17" ht="12.75">
      <c r="J432" s="230"/>
      <c r="K432" s="230"/>
      <c r="L432" s="230"/>
      <c r="M432" s="230"/>
      <c r="N432" s="230"/>
      <c r="O432" s="230"/>
      <c r="P432" s="230"/>
      <c r="Q432" s="230"/>
    </row>
    <row r="433" spans="10:17" ht="12.75">
      <c r="J433" s="230"/>
      <c r="K433" s="230"/>
      <c r="L433" s="230"/>
      <c r="M433" s="230"/>
      <c r="N433" s="230"/>
      <c r="O433" s="230"/>
      <c r="P433" s="230"/>
      <c r="Q433" s="230"/>
    </row>
    <row r="434" spans="5:20" ht="12.75">
      <c r="E434" s="227"/>
      <c r="F434" s="426">
        <f>B20-B171</f>
        <v>315</v>
      </c>
      <c r="G434" s="232" t="s">
        <v>156</v>
      </c>
      <c r="J434" s="230"/>
      <c r="K434" s="230"/>
      <c r="L434" s="230"/>
      <c r="M434" s="230"/>
      <c r="N434" s="230"/>
      <c r="O434" s="230"/>
      <c r="P434" s="230"/>
      <c r="Q434" s="230"/>
      <c r="S434" s="232" t="s">
        <v>237</v>
      </c>
      <c r="T434" s="224">
        <f>F435/F434</f>
        <v>0.39337474120082816</v>
      </c>
    </row>
    <row r="435" spans="5:17" ht="43.5" customHeight="1">
      <c r="E435" s="227"/>
      <c r="F435" s="427">
        <f>IF(T196=1,T197,T195)*F70/(0.8*B21/1000*C72)/1000</f>
        <v>123.91304347826087</v>
      </c>
      <c r="G435" s="232" t="s">
        <v>156</v>
      </c>
      <c r="J435" s="230"/>
      <c r="K435" s="230"/>
      <c r="L435" s="230"/>
      <c r="M435" s="230"/>
      <c r="N435" s="230"/>
      <c r="O435" s="230"/>
      <c r="P435" s="230"/>
      <c r="Q435" s="230"/>
    </row>
    <row r="436" spans="5:17" ht="12.75" customHeight="1">
      <c r="E436" s="227"/>
      <c r="F436" s="341">
        <f>F434-0.5*F435</f>
        <v>253.04347826086956</v>
      </c>
      <c r="G436" s="232" t="s">
        <v>156</v>
      </c>
      <c r="J436" s="230"/>
      <c r="K436" s="230"/>
      <c r="L436" s="230"/>
      <c r="M436" s="230"/>
      <c r="N436" s="230"/>
      <c r="O436" s="230"/>
      <c r="P436" s="230"/>
      <c r="Q436" s="230"/>
    </row>
    <row r="437" spans="5:20" ht="33" customHeight="1">
      <c r="E437" s="227"/>
      <c r="F437" s="428">
        <f>F435/F434</f>
        <v>0.39337474120082816</v>
      </c>
      <c r="G437" s="333" t="s">
        <v>223</v>
      </c>
      <c r="H437" s="429" t="str">
        <f>CONCATENATE(S437," ",F68," =  ",T437)</f>
        <v>&gt; 0,617 =  ξbal</v>
      </c>
      <c r="I437" s="429"/>
      <c r="J437" s="230"/>
      <c r="K437" s="230"/>
      <c r="L437" s="230"/>
      <c r="M437" s="230"/>
      <c r="N437" s="230"/>
      <c r="O437" s="230"/>
      <c r="P437" s="230"/>
      <c r="Q437" s="230"/>
      <c r="S437" s="224" t="str">
        <f>IF(F437&lt;F68,"&gt;","&lt;")</f>
        <v>&gt;</v>
      </c>
      <c r="T437" s="335" t="s">
        <v>315</v>
      </c>
    </row>
    <row r="438" spans="5:17" ht="18" customHeight="1">
      <c r="E438" s="227"/>
      <c r="F438" s="349">
        <f>F436/1000*F70*IF(T196=1,T197,T195)/1000</f>
        <v>125.42155009451795</v>
      </c>
      <c r="G438" s="333" t="s">
        <v>175</v>
      </c>
      <c r="H438" s="343">
        <f>IF(F437&lt;F68,"","Nevyhovuje")</f>
      </c>
      <c r="J438" s="230"/>
      <c r="K438" s="230"/>
      <c r="L438" s="230"/>
      <c r="M438" s="230"/>
      <c r="N438" s="230"/>
      <c r="O438" s="230"/>
      <c r="P438" s="230"/>
      <c r="Q438" s="230"/>
    </row>
    <row r="439" spans="5:17" ht="18" customHeight="1">
      <c r="E439" s="227"/>
      <c r="F439" s="430" t="str">
        <f>IF(F438&gt;F421,"OK","Not satisfy! ")</f>
        <v>OK</v>
      </c>
      <c r="G439" s="333"/>
      <c r="H439" s="343"/>
      <c r="J439" s="230"/>
      <c r="K439" s="230"/>
      <c r="L439" s="230"/>
      <c r="M439" s="230"/>
      <c r="N439" s="230"/>
      <c r="O439" s="230"/>
      <c r="P439" s="230"/>
      <c r="Q439" s="230"/>
    </row>
    <row r="440" spans="10:19" ht="12.75">
      <c r="J440" s="230"/>
      <c r="K440" s="230"/>
      <c r="L440" s="230"/>
      <c r="M440" s="230"/>
      <c r="N440" s="230"/>
      <c r="O440" s="230"/>
      <c r="P440" s="230"/>
      <c r="Q440" s="230"/>
      <c r="R440" s="232" t="s">
        <v>237</v>
      </c>
      <c r="S440" s="224" t="str">
        <f>IF(F437&lt;F68,"1","0")</f>
        <v>1</v>
      </c>
    </row>
    <row r="441" spans="5:19" ht="12.75">
      <c r="E441" s="227"/>
      <c r="F441" s="303">
        <f>ROUND(S230*F70*C214/C230*1.5/1000,2)</f>
        <v>257.04</v>
      </c>
      <c r="G441" s="232" t="s">
        <v>248</v>
      </c>
      <c r="J441" s="230"/>
      <c r="K441" s="230"/>
      <c r="L441" s="230"/>
      <c r="M441" s="230"/>
      <c r="N441" s="230"/>
      <c r="O441" s="230"/>
      <c r="P441" s="230"/>
      <c r="Q441" s="230"/>
      <c r="R441" s="232" t="s">
        <v>282</v>
      </c>
      <c r="S441" s="224" t="str">
        <f>IF(F438&gt;F421,"1","0")</f>
        <v>1</v>
      </c>
    </row>
    <row r="442" spans="6:19" ht="15">
      <c r="F442" s="430" t="str">
        <f>IF(F441&gt;F422,"OK","Not satisfy ")</f>
        <v>OK</v>
      </c>
      <c r="J442" s="230"/>
      <c r="K442" s="230"/>
      <c r="L442" s="230"/>
      <c r="M442" s="230"/>
      <c r="N442" s="230"/>
      <c r="O442" s="230"/>
      <c r="P442" s="230"/>
      <c r="Q442" s="230"/>
      <c r="R442" s="232" t="s">
        <v>316</v>
      </c>
      <c r="S442" s="224" t="str">
        <f>IF(F441&gt;F422,"1","0")</f>
        <v>1</v>
      </c>
    </row>
    <row r="443" ht="12.75">
      <c r="S443" s="224">
        <f>S442+S441+S440</f>
        <v>3</v>
      </c>
    </row>
    <row r="444" spans="4:7" ht="12.75">
      <c r="D444" s="431" t="str">
        <f>IF(S443=3,"The beam needs no mounting support.","The beam needs a mounting support.")</f>
        <v>The beam needs no mounting support.</v>
      </c>
      <c r="E444" s="432"/>
      <c r="F444" s="432"/>
      <c r="G444" s="432"/>
    </row>
  </sheetData>
  <sheetProtection password="DF81" sheet="1" objects="1" scenarios="1" selectLockedCells="1"/>
  <mergeCells count="40">
    <mergeCell ref="A44:B44"/>
    <mergeCell ref="A40:D40"/>
    <mergeCell ref="A41:D41"/>
    <mergeCell ref="E164:G164"/>
    <mergeCell ref="A164:C164"/>
    <mergeCell ref="A38:B39"/>
    <mergeCell ref="A101:B102"/>
    <mergeCell ref="A103:B104"/>
    <mergeCell ref="A126:B127"/>
    <mergeCell ref="A128:B129"/>
    <mergeCell ref="A1:I4"/>
    <mergeCell ref="J1:Q2"/>
    <mergeCell ref="J3:Q5"/>
    <mergeCell ref="A32:B32"/>
    <mergeCell ref="G256:I256"/>
    <mergeCell ref="J9:Q9"/>
    <mergeCell ref="A31:B31"/>
    <mergeCell ref="A37:C37"/>
    <mergeCell ref="A33:B33"/>
    <mergeCell ref="A34:B34"/>
    <mergeCell ref="A35:B35"/>
    <mergeCell ref="A36:B36"/>
    <mergeCell ref="D270:H270"/>
    <mergeCell ref="C331:E331"/>
    <mergeCell ref="A387:B387"/>
    <mergeCell ref="D351:H351"/>
    <mergeCell ref="D355:H355"/>
    <mergeCell ref="B304:G304"/>
    <mergeCell ref="C301:F301"/>
    <mergeCell ref="A382:B382"/>
    <mergeCell ref="A200:B201"/>
    <mergeCell ref="A202:B203"/>
    <mergeCell ref="A230:B230"/>
    <mergeCell ref="D298:E298"/>
    <mergeCell ref="D314:E314"/>
    <mergeCell ref="F306:G306"/>
    <mergeCell ref="B306:C306"/>
    <mergeCell ref="B245:C245"/>
    <mergeCell ref="C258:E258"/>
    <mergeCell ref="D274:H274"/>
  </mergeCells>
  <conditionalFormatting sqref="B106:D107 U111 U130">
    <cfRule type="expression" priority="133" dxfId="54" stopIfTrue="1">
      <formula>$T$110=2</formula>
    </cfRule>
  </conditionalFormatting>
  <conditionalFormatting sqref="C120 L11:L13 C150 M17 C145 C219">
    <cfRule type="containsText" priority="131" dxfId="1" operator="containsText" stopIfTrue="1" text="Not satisfy!">
      <formula>NOT(ISERROR(SEARCH("Not satisfy!",C11)))</formula>
    </cfRule>
  </conditionalFormatting>
  <conditionalFormatting sqref="C150:C151 L13 C219 M17">
    <cfRule type="containsText" priority="123" dxfId="8" operator="containsText" stopIfTrue="1" text="Not satisfy!">
      <formula>NOT(ISERROR(SEARCH("Not satisfy!",C13)))</formula>
    </cfRule>
    <cfRule type="containsText" priority="126" dxfId="0" operator="containsText" stopIfTrue="1" text="OK">
      <formula>NOT(ISERROR(SEARCH("OK",C13)))</formula>
    </cfRule>
  </conditionalFormatting>
  <conditionalFormatting sqref="B205:D206">
    <cfRule type="expression" priority="120" dxfId="54" stopIfTrue="1">
      <formula>$T$196=2</formula>
    </cfRule>
  </conditionalFormatting>
  <conditionalFormatting sqref="B219 D219">
    <cfRule type="expression" priority="117" dxfId="1" stopIfTrue="1">
      <formula>$F$179&gt;$C$216</formula>
    </cfRule>
  </conditionalFormatting>
  <conditionalFormatting sqref="B145 D145">
    <cfRule type="expression" priority="176" dxfId="1" stopIfTrue="1">
      <formula>$C$142&lt;$H$85</formula>
    </cfRule>
  </conditionalFormatting>
  <conditionalFormatting sqref="B120 D120">
    <cfRule type="expression" priority="178" dxfId="1" stopIfTrue="1">
      <formula>$C$117&lt;($H$84*-1)</formula>
    </cfRule>
  </conditionalFormatting>
  <conditionalFormatting sqref="C234">
    <cfRule type="cellIs" priority="100" dxfId="10" operator="equal" stopIfTrue="1">
      <formula>"Nevyhovuje"</formula>
    </cfRule>
    <cfRule type="cellIs" priority="101" dxfId="0" operator="equal" stopIfTrue="1">
      <formula>"Vyhovuje"</formula>
    </cfRule>
  </conditionalFormatting>
  <conditionalFormatting sqref="F318 C235 C239 E236 C242 G408 G403 F398:H398 M18:M19 Q17">
    <cfRule type="cellIs" priority="98" dxfId="0" operator="equal" stopIfTrue="1">
      <formula>"Vyhovuje"</formula>
    </cfRule>
    <cfRule type="cellIs" priority="99" dxfId="1" operator="equal" stopIfTrue="1">
      <formula>"Nevyhovuje"</formula>
    </cfRule>
  </conditionalFormatting>
  <conditionalFormatting sqref="F321">
    <cfRule type="cellIs" priority="87" dxfId="1" operator="equal" stopIfTrue="1">
      <formula>"Not satisfy!"</formula>
    </cfRule>
  </conditionalFormatting>
  <conditionalFormatting sqref="E334:I348">
    <cfRule type="expression" priority="85" dxfId="55" stopIfTrue="1">
      <formula>$S$347=2</formula>
    </cfRule>
  </conditionalFormatting>
  <conditionalFormatting sqref="A334:D348">
    <cfRule type="expression" priority="84" dxfId="55" stopIfTrue="1">
      <formula>$S$347=1</formula>
    </cfRule>
  </conditionalFormatting>
  <conditionalFormatting sqref="G404:I404">
    <cfRule type="expression" priority="76" dxfId="55" stopIfTrue="1">
      <formula>$G$403="Vyhovuje"</formula>
    </cfRule>
  </conditionalFormatting>
  <conditionalFormatting sqref="G409:I409">
    <cfRule type="expression" priority="74" dxfId="55" stopIfTrue="1">
      <formula>$G$408="Vyhovuje"</formula>
    </cfRule>
  </conditionalFormatting>
  <conditionalFormatting sqref="F439 F442">
    <cfRule type="expression" priority="207" dxfId="0" stopIfTrue="1">
      <formula>LEFT(F439,8)="Vyhovuje"</formula>
    </cfRule>
    <cfRule type="expression" priority="208" dxfId="1" stopIfTrue="1">
      <formula>LEFT(F439,10)="Nevyhovuje"</formula>
    </cfRule>
  </conditionalFormatting>
  <conditionalFormatting sqref="D444:G444">
    <cfRule type="expression" priority="69" dxfId="55" stopIfTrue="1">
      <formula>$S$443=3</formula>
    </cfRule>
  </conditionalFormatting>
  <conditionalFormatting sqref="B131:D132">
    <cfRule type="expression" priority="57" dxfId="54" stopIfTrue="1">
      <formula>$T$129=2</formula>
    </cfRule>
  </conditionalFormatting>
  <conditionalFormatting sqref="L11:L12 C120 C145">
    <cfRule type="expression" priority="240" dxfId="0" stopIfTrue="1">
      <formula>LEFT(C11,8)="OK"</formula>
    </cfRule>
  </conditionalFormatting>
  <conditionalFormatting sqref="C219">
    <cfRule type="expression" priority="53" dxfId="0" stopIfTrue="1">
      <formula>LEFT(C219,8)="OK"</formula>
    </cfRule>
  </conditionalFormatting>
  <conditionalFormatting sqref="C239">
    <cfRule type="containsText" priority="52" dxfId="1" operator="containsText" stopIfTrue="1" text="Not satisfy!">
      <formula>NOT(ISERROR(SEARCH("Not satisfy!",C239)))</formula>
    </cfRule>
  </conditionalFormatting>
  <conditionalFormatting sqref="C239">
    <cfRule type="containsText" priority="50" dxfId="8" operator="containsText" stopIfTrue="1" text="Not satisfy!">
      <formula>NOT(ISERROR(SEARCH("Not satisfy!",C239)))</formula>
    </cfRule>
    <cfRule type="containsText" priority="51" dxfId="0" operator="containsText" stopIfTrue="1" text="OK">
      <formula>NOT(ISERROR(SEARCH("OK",C239)))</formula>
    </cfRule>
  </conditionalFormatting>
  <conditionalFormatting sqref="C239">
    <cfRule type="expression" priority="49" dxfId="0" stopIfTrue="1">
      <formula>LEFT(C239,8)="OK"</formula>
    </cfRule>
  </conditionalFormatting>
  <conditionalFormatting sqref="C242">
    <cfRule type="containsText" priority="48" dxfId="1" operator="containsText" stopIfTrue="1" text="Not satisfy!">
      <formula>NOT(ISERROR(SEARCH("Not satisfy!",C242)))</formula>
    </cfRule>
  </conditionalFormatting>
  <conditionalFormatting sqref="C242">
    <cfRule type="containsText" priority="46" dxfId="8" operator="containsText" stopIfTrue="1" text="Not satisfy!">
      <formula>NOT(ISERROR(SEARCH("Not satisfy!",C242)))</formula>
    </cfRule>
    <cfRule type="containsText" priority="47" dxfId="0" operator="containsText" stopIfTrue="1" text="OK">
      <formula>NOT(ISERROR(SEARCH("OK",C242)))</formula>
    </cfRule>
  </conditionalFormatting>
  <conditionalFormatting sqref="C242">
    <cfRule type="expression" priority="45" dxfId="0" stopIfTrue="1">
      <formula>LEFT(C242,8)="OK"</formula>
    </cfRule>
  </conditionalFormatting>
  <conditionalFormatting sqref="C234">
    <cfRule type="cellIs" priority="43" dxfId="0" operator="equal" stopIfTrue="1">
      <formula>"Vyhovuje"</formula>
    </cfRule>
    <cfRule type="cellIs" priority="44" dxfId="1" operator="equal" stopIfTrue="1">
      <formula>"Nevyhovuje"</formula>
    </cfRule>
  </conditionalFormatting>
  <conditionalFormatting sqref="C234">
    <cfRule type="containsText" priority="42" dxfId="1" operator="containsText" stopIfTrue="1" text="Not satisfy!">
      <formula>NOT(ISERROR(SEARCH("Not satisfy!",C234)))</formula>
    </cfRule>
  </conditionalFormatting>
  <conditionalFormatting sqref="C234">
    <cfRule type="containsText" priority="40" dxfId="8" operator="containsText" stopIfTrue="1" text="Not satisfy!">
      <formula>NOT(ISERROR(SEARCH("Not satisfy!",C234)))</formula>
    </cfRule>
    <cfRule type="containsText" priority="41" dxfId="0" operator="containsText" stopIfTrue="1" text="OK">
      <formula>NOT(ISERROR(SEARCH("OK",C234)))</formula>
    </cfRule>
  </conditionalFormatting>
  <conditionalFormatting sqref="C234">
    <cfRule type="expression" priority="39" dxfId="0" stopIfTrue="1">
      <formula>LEFT(C234,8)="OK"</formula>
    </cfRule>
  </conditionalFormatting>
  <conditionalFormatting sqref="C235">
    <cfRule type="cellIs" priority="37" dxfId="10" operator="equal" stopIfTrue="1">
      <formula>"Nevyhovuje"</formula>
    </cfRule>
    <cfRule type="cellIs" priority="38" dxfId="0" operator="equal" stopIfTrue="1">
      <formula>"Vyhovuje"</formula>
    </cfRule>
  </conditionalFormatting>
  <conditionalFormatting sqref="C235">
    <cfRule type="cellIs" priority="35" dxfId="0" operator="equal" stopIfTrue="1">
      <formula>"Vyhovuje"</formula>
    </cfRule>
    <cfRule type="cellIs" priority="36" dxfId="1" operator="equal" stopIfTrue="1">
      <formula>"Nevyhovuje"</formula>
    </cfRule>
  </conditionalFormatting>
  <conditionalFormatting sqref="C235">
    <cfRule type="containsText" priority="34" dxfId="1" operator="containsText" stopIfTrue="1" text="Not satisfy!">
      <formula>NOT(ISERROR(SEARCH("Not satisfy!",C235)))</formula>
    </cfRule>
  </conditionalFormatting>
  <conditionalFormatting sqref="C235">
    <cfRule type="containsText" priority="32" dxfId="8" operator="containsText" stopIfTrue="1" text="Not satisfy!">
      <formula>NOT(ISERROR(SEARCH("Not satisfy!",C235)))</formula>
    </cfRule>
    <cfRule type="containsText" priority="33" dxfId="0" operator="containsText" stopIfTrue="1" text="OK">
      <formula>NOT(ISERROR(SEARCH("OK",C235)))</formula>
    </cfRule>
  </conditionalFormatting>
  <conditionalFormatting sqref="C235">
    <cfRule type="expression" priority="31" dxfId="0" stopIfTrue="1">
      <formula>LEFT(C235,8)="OK"</formula>
    </cfRule>
  </conditionalFormatting>
  <conditionalFormatting sqref="G408">
    <cfRule type="containsText" priority="30" dxfId="1" operator="containsText" stopIfTrue="1" text="Not satisfy!">
      <formula>NOT(ISERROR(SEARCH("Not satisfy!",G408)))</formula>
    </cfRule>
  </conditionalFormatting>
  <conditionalFormatting sqref="G408">
    <cfRule type="containsText" priority="28" dxfId="8" operator="containsText" stopIfTrue="1" text="Not satisfy!">
      <formula>NOT(ISERROR(SEARCH("Not satisfy!",G408)))</formula>
    </cfRule>
    <cfRule type="containsText" priority="29" dxfId="0" operator="containsText" stopIfTrue="1" text="OK">
      <formula>NOT(ISERROR(SEARCH("OK",G408)))</formula>
    </cfRule>
  </conditionalFormatting>
  <conditionalFormatting sqref="G408">
    <cfRule type="expression" priority="27" dxfId="0" stopIfTrue="1">
      <formula>LEFT(G408,8)="OK"</formula>
    </cfRule>
  </conditionalFormatting>
  <conditionalFormatting sqref="G403">
    <cfRule type="containsText" priority="26" dxfId="1" operator="containsText" stopIfTrue="1" text="Not satisfy!">
      <formula>NOT(ISERROR(SEARCH("Not satisfy!",G403)))</formula>
    </cfRule>
  </conditionalFormatting>
  <conditionalFormatting sqref="G403">
    <cfRule type="containsText" priority="24" dxfId="8" operator="containsText" stopIfTrue="1" text="Not satisfy!">
      <formula>NOT(ISERROR(SEARCH("Not satisfy!",G403)))</formula>
    </cfRule>
    <cfRule type="containsText" priority="25" dxfId="0" operator="containsText" stopIfTrue="1" text="OK">
      <formula>NOT(ISERROR(SEARCH("OK",G403)))</formula>
    </cfRule>
  </conditionalFormatting>
  <conditionalFormatting sqref="G403">
    <cfRule type="expression" priority="23" dxfId="0" stopIfTrue="1">
      <formula>LEFT(G403,8)="OK"</formula>
    </cfRule>
  </conditionalFormatting>
  <conditionalFormatting sqref="F398:H398">
    <cfRule type="containsText" priority="22" dxfId="1" operator="containsText" stopIfTrue="1" text="Not satisfy!">
      <formula>NOT(ISERROR(SEARCH("Not satisfy!",F398)))</formula>
    </cfRule>
  </conditionalFormatting>
  <conditionalFormatting sqref="F398:H398">
    <cfRule type="containsText" priority="20" dxfId="8" operator="containsText" stopIfTrue="1" text="Not satisfy!">
      <formula>NOT(ISERROR(SEARCH("Not satisfy!",F398)))</formula>
    </cfRule>
    <cfRule type="containsText" priority="21" dxfId="0" operator="containsText" stopIfTrue="1" text="OK">
      <formula>NOT(ISERROR(SEARCH("OK",F398)))</formula>
    </cfRule>
  </conditionalFormatting>
  <conditionalFormatting sqref="F398:H398">
    <cfRule type="expression" priority="19" dxfId="0" stopIfTrue="1">
      <formula>LEFT(F398,8)="OK"</formula>
    </cfRule>
  </conditionalFormatting>
  <conditionalFormatting sqref="F439">
    <cfRule type="cellIs" priority="17" dxfId="0" operator="equal" stopIfTrue="1">
      <formula>"Vyhovuje"</formula>
    </cfRule>
    <cfRule type="cellIs" priority="18" dxfId="1" operator="equal" stopIfTrue="1">
      <formula>"Nevyhovuje"</formula>
    </cfRule>
  </conditionalFormatting>
  <conditionalFormatting sqref="F439">
    <cfRule type="containsText" priority="16" dxfId="1" operator="containsText" stopIfTrue="1" text="Not satisfy!">
      <formula>NOT(ISERROR(SEARCH("Not satisfy!",F439)))</formula>
    </cfRule>
  </conditionalFormatting>
  <conditionalFormatting sqref="F439">
    <cfRule type="containsText" priority="14" dxfId="8" operator="containsText" stopIfTrue="1" text="Not satisfy!">
      <formula>NOT(ISERROR(SEARCH("Not satisfy!",F439)))</formula>
    </cfRule>
    <cfRule type="containsText" priority="15" dxfId="0" operator="containsText" stopIfTrue="1" text="OK">
      <formula>NOT(ISERROR(SEARCH("OK",F439)))</formula>
    </cfRule>
  </conditionalFormatting>
  <conditionalFormatting sqref="F439">
    <cfRule type="expression" priority="13" dxfId="0" stopIfTrue="1">
      <formula>LEFT(F439,8)="OK"</formula>
    </cfRule>
  </conditionalFormatting>
  <conditionalFormatting sqref="F442">
    <cfRule type="cellIs" priority="11" dxfId="0" operator="equal" stopIfTrue="1">
      <formula>"Vyhovuje"</formula>
    </cfRule>
    <cfRule type="cellIs" priority="12" dxfId="1" operator="equal" stopIfTrue="1">
      <formula>"Nevyhovuje"</formula>
    </cfRule>
  </conditionalFormatting>
  <conditionalFormatting sqref="F442">
    <cfRule type="containsText" priority="10" dxfId="1" operator="containsText" stopIfTrue="1" text="Not satisfy!">
      <formula>NOT(ISERROR(SEARCH("Not satisfy!",F442)))</formula>
    </cfRule>
  </conditionalFormatting>
  <conditionalFormatting sqref="F442">
    <cfRule type="containsText" priority="8" dxfId="8" operator="containsText" stopIfTrue="1" text="Not satisfy!">
      <formula>NOT(ISERROR(SEARCH("Not satisfy!",F442)))</formula>
    </cfRule>
    <cfRule type="containsText" priority="9" dxfId="0" operator="containsText" stopIfTrue="1" text="OK">
      <formula>NOT(ISERROR(SEARCH("OK",F442)))</formula>
    </cfRule>
  </conditionalFormatting>
  <conditionalFormatting sqref="F442">
    <cfRule type="expression" priority="7" dxfId="0" stopIfTrue="1">
      <formula>LEFT(F442,8)="OK"</formula>
    </cfRule>
  </conditionalFormatting>
  <conditionalFormatting sqref="M18">
    <cfRule type="containsText" priority="6" dxfId="1" operator="containsText" stopIfTrue="1" text="Not satisfy!">
      <formula>NOT(ISERROR(SEARCH("Not satisfy!",M18)))</formula>
    </cfRule>
  </conditionalFormatting>
  <conditionalFormatting sqref="M18">
    <cfRule type="expression" priority="5" dxfId="0" stopIfTrue="1">
      <formula>LEFT(M18,8)="OK"</formula>
    </cfRule>
  </conditionalFormatting>
  <conditionalFormatting sqref="M19">
    <cfRule type="containsText" priority="4" dxfId="1" operator="containsText" stopIfTrue="1" text="Not satisfy!">
      <formula>NOT(ISERROR(SEARCH("Not satisfy!",M19)))</formula>
    </cfRule>
  </conditionalFormatting>
  <conditionalFormatting sqref="M19">
    <cfRule type="expression" priority="3" dxfId="0" stopIfTrue="1">
      <formula>LEFT(M19,8)="OK"</formula>
    </cfRule>
  </conditionalFormatting>
  <conditionalFormatting sqref="Q17">
    <cfRule type="containsText" priority="2" dxfId="1" operator="containsText" stopIfTrue="1" text="Not satisfy!">
      <formula>NOT(ISERROR(SEARCH("Not satisfy!",Q17)))</formula>
    </cfRule>
  </conditionalFormatting>
  <conditionalFormatting sqref="Q17">
    <cfRule type="expression" priority="1" dxfId="0" stopIfTrue="1">
      <formula>LEFT(Q17,8)="OK"</formula>
    </cfRule>
  </conditionalFormatting>
  <dataValidations count="20">
    <dataValidation type="list" allowBlank="1" showInputMessage="1" showErrorMessage="1" sqref="D351 D270 D274 D355">
      <formula1>$S$268:$S$271</formula1>
    </dataValidation>
    <dataValidation type="list" allowBlank="1" showInputMessage="1" showErrorMessage="1" sqref="C331 C258">
      <formula1>$S$259:$S$261</formula1>
    </dataValidation>
    <dataValidation type="list" allowBlank="1" showInputMessage="1" showErrorMessage="1" sqref="A41">
      <formula1>$U$16:$U$19</formula1>
    </dataValidation>
    <dataValidation type="list" allowBlank="1" showInputMessage="1" showErrorMessage="1" sqref="A40">
      <formula1>$U$4:$U$15</formula1>
    </dataValidation>
    <dataValidation type="list" allowBlank="1" showInputMessage="1" showErrorMessage="1" sqref="C106 C131">
      <formula1>$V$88:$V$100</formula1>
    </dataValidation>
    <dataValidation type="list" allowBlank="1" showInputMessage="1" showErrorMessage="1" sqref="C107 C230 C132">
      <formula1>$W$88:$W$120</formula1>
    </dataValidation>
    <dataValidation type="list" allowBlank="1" showInputMessage="1" showErrorMessage="1" sqref="C203 C104 C129">
      <formula1>$T$108:$T$109</formula1>
    </dataValidation>
    <dataValidation type="list" allowBlank="1" showInputMessage="1" showErrorMessage="1" sqref="K34">
      <formula1>$W$21:$W$41</formula1>
    </dataValidation>
    <dataValidation type="list" allowBlank="1" showInputMessage="1" showErrorMessage="1" sqref="K32">
      <formula1>$S$21:$S$34</formula1>
    </dataValidation>
    <dataValidation type="list" allowBlank="1" showInputMessage="1" showErrorMessage="1" sqref="K36">
      <formula1>$AA$21:$AA$41</formula1>
    </dataValidation>
    <dataValidation type="list" allowBlank="1" showInputMessage="1" showErrorMessage="1" sqref="C49">
      <formula1>$T$51:$T$53</formula1>
    </dataValidation>
    <dataValidation type="list" allowBlank="1" showInputMessage="1" showErrorMessage="1" sqref="C51">
      <formula1>$W$51:$W$58</formula1>
    </dataValidation>
    <dataValidation type="list" allowBlank="1" showInputMessage="1" showErrorMessage="1" sqref="C50">
      <formula1>$U$51:$U$53</formula1>
    </dataValidation>
    <dataValidation type="list" allowBlank="1" showInputMessage="1" showErrorMessage="1" sqref="C61">
      <formula1>$T$59:$T$72</formula1>
    </dataValidation>
    <dataValidation type="list" allowBlank="1" showInputMessage="1" showErrorMessage="1" sqref="F61">
      <formula1>$U$59:$U$62</formula1>
    </dataValidation>
    <dataValidation type="list" allowBlank="1" showInputMessage="1" showErrorMessage="1" sqref="D161 C205">
      <formula1>$V$93:$V$100</formula1>
    </dataValidation>
    <dataValidation type="list" allowBlank="1" showInputMessage="1" showErrorMessage="1" sqref="D162">
      <formula1>$V$88:$V$94</formula1>
    </dataValidation>
    <dataValidation type="list" allowBlank="1" showInputMessage="1" showErrorMessage="1" sqref="C206">
      <formula1>$W$190:$W$198</formula1>
    </dataValidation>
    <dataValidation type="list" allowBlank="1" showInputMessage="1" showErrorMessage="1" sqref="C62">
      <formula1>$S$56:$S$59</formula1>
    </dataValidation>
    <dataValidation type="list" allowBlank="1" showInputMessage="1" showErrorMessage="1" sqref="B245:C245">
      <formula1>$S$240:$S$242</formula1>
    </dataValidation>
  </dataValidations>
  <printOptions/>
  <pageMargins left="0.787401575" right="0.787401575" top="0.984251969" bottom="0.984251969" header="0.4921259845" footer="0.4921259845"/>
  <pageSetup horizontalDpi="600" verticalDpi="600" orientation="portrait" paperSize="9" r:id="rId37"/>
  <drawing r:id="rId36"/>
  <legacyDrawing r:id="rId35"/>
  <oleObjects>
    <oleObject progId="Equation.3" shapeId="2515934" r:id="rId1"/>
    <oleObject progId="Equation.3" shapeId="2522818" r:id="rId2"/>
    <oleObject progId="Equation.3" shapeId="2527481" r:id="rId3"/>
    <oleObject progId="Equation.3" shapeId="2537007" r:id="rId4"/>
    <oleObject progId="Equation.3" shapeId="2539311" r:id="rId5"/>
    <oleObject progId="Equation.3" shapeId="2541300" r:id="rId6"/>
    <oleObject progId="Equation.3" shapeId="2542914" r:id="rId7"/>
    <oleObject progId="Equation.3" shapeId="2638027" r:id="rId8"/>
    <oleObject progId="Equation.3" shapeId="2638028" r:id="rId9"/>
    <oleObject progId="Equation.3" shapeId="2638029" r:id="rId10"/>
    <oleObject progId="Equation.3" shapeId="2638030" r:id="rId11"/>
    <oleObject progId="Equation.3" shapeId="2638031" r:id="rId12"/>
    <oleObject progId="Equation.3" shapeId="2980804" r:id="rId13"/>
    <oleObject progId="Equation.3" shapeId="585120" r:id="rId14"/>
    <oleObject progId="Equation.3" shapeId="585121" r:id="rId15"/>
    <oleObject progId="Equation.3" shapeId="585122" r:id="rId16"/>
    <oleObject progId="Equation.3" shapeId="585123" r:id="rId17"/>
    <oleObject progId="Equation.3" shapeId="585124" r:id="rId18"/>
    <oleObject progId="Equation.3" shapeId="585125" r:id="rId19"/>
    <oleObject progId="Equation.3" shapeId="590943" r:id="rId20"/>
    <oleObject progId="Equation.3" shapeId="1724480" r:id="rId21"/>
    <oleObject progId="Equation.3" shapeId="1775388" r:id="rId22"/>
    <oleObject progId="Equation.3" shapeId="2369606" r:id="rId23"/>
    <oleObject progId="Equation.3" shapeId="2505730" r:id="rId24"/>
    <oleObject progId="Equation.3" shapeId="2570305" r:id="rId25"/>
    <oleObject progId="Equation.3" shapeId="2574329" r:id="rId26"/>
    <oleObject progId="Equation.3" shapeId="2574330" r:id="rId27"/>
    <oleObject progId="Equation.3" shapeId="2626790" r:id="rId28"/>
    <oleObject progId="Equation.3" shapeId="2088742" r:id="rId29"/>
    <oleObject progId="Equation.3" shapeId="2088743" r:id="rId30"/>
    <oleObject progId="Equation.3" shapeId="2088744" r:id="rId31"/>
    <oleObject progId="Equation.3" shapeId="2105162" r:id="rId32"/>
    <oleObject progId="Equation.3" shapeId="2116788" r:id="rId33"/>
    <oleObject progId="Equation.3" shapeId="2126198" r:id="rId3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BF124"/>
  <sheetViews>
    <sheetView zoomScale="70" zoomScaleNormal="70" zoomScalePageLayoutView="0" workbookViewId="0" topLeftCell="F1">
      <selection activeCell="V6" sqref="V6"/>
    </sheetView>
  </sheetViews>
  <sheetFormatPr defaultColWidth="9.140625" defaultRowHeight="12.75"/>
  <cols>
    <col min="1" max="1" width="34.140625" style="14" hidden="1" customWidth="1"/>
    <col min="2" max="2" width="32.57421875" style="1" hidden="1" customWidth="1"/>
    <col min="3" max="3" width="41.00390625" style="1" hidden="1" customWidth="1"/>
    <col min="4" max="5" width="11.57421875" style="1" hidden="1" customWidth="1"/>
    <col min="6" max="7" width="8.57421875" style="1" customWidth="1"/>
    <col min="8" max="8" width="6.140625" style="1" customWidth="1"/>
    <col min="9" max="9" width="15.00390625" style="1" customWidth="1"/>
    <col min="10" max="10" width="14.421875" style="1" customWidth="1"/>
    <col min="11" max="11" width="13.28125" style="1" customWidth="1"/>
    <col min="12" max="14" width="8.57421875" style="1" customWidth="1"/>
    <col min="15" max="15" width="12.28125" style="1" customWidth="1"/>
    <col min="16" max="16" width="8.57421875" style="1" customWidth="1"/>
    <col min="17" max="17" width="10.28125" style="1" customWidth="1"/>
    <col min="18" max="18" width="9.57421875" style="1" customWidth="1"/>
    <col min="19" max="19" width="10.28125" style="1" customWidth="1"/>
    <col min="20" max="20" width="9.7109375" style="1" customWidth="1"/>
    <col min="21" max="23" width="8.57421875" style="1" customWidth="1"/>
    <col min="24" max="24" width="11.421875" style="1" customWidth="1"/>
    <col min="25" max="25" width="8.57421875" style="1" hidden="1" customWidth="1"/>
    <col min="26" max="26" width="9.28125" style="1" hidden="1" customWidth="1"/>
    <col min="27" max="30" width="8.57421875" style="1" hidden="1" customWidth="1"/>
    <col min="31" max="31" width="9.7109375" style="1" hidden="1" customWidth="1"/>
    <col min="32" max="38" width="8.57421875" style="1" hidden="1" customWidth="1"/>
    <col min="39" max="53" width="0" style="1" hidden="1" customWidth="1"/>
    <col min="54" max="54" width="15.140625" style="1" hidden="1" customWidth="1"/>
    <col min="55" max="59" width="0" style="1" hidden="1" customWidth="1"/>
    <col min="60" max="16384" width="9.140625" style="1" customWidth="1"/>
  </cols>
  <sheetData>
    <row r="1" spans="1:40" ht="30" thickBot="1" thickTop="1">
      <c r="A1" s="13" t="s">
        <v>1</v>
      </c>
      <c r="B1" s="3" t="s">
        <v>2</v>
      </c>
      <c r="C1" s="4"/>
      <c r="D1" s="10">
        <v>500</v>
      </c>
      <c r="E1" s="8"/>
      <c r="G1" s="2"/>
      <c r="H1"/>
      <c r="I1" s="20" t="s">
        <v>473</v>
      </c>
      <c r="J1" s="211" t="s">
        <v>474</v>
      </c>
      <c r="K1" s="212"/>
      <c r="L1" s="212"/>
      <c r="M1" s="212"/>
      <c r="N1" s="212"/>
      <c r="O1" s="212"/>
      <c r="P1" s="212"/>
      <c r="Q1" s="213"/>
      <c r="AE1" s="1" t="s">
        <v>249</v>
      </c>
      <c r="AI1" s="197" t="s">
        <v>250</v>
      </c>
      <c r="AJ1" s="197"/>
      <c r="AM1" s="1" t="s">
        <v>251</v>
      </c>
      <c r="AN1" s="1" t="s">
        <v>249</v>
      </c>
    </row>
    <row r="2" spans="1:40" ht="24.75" thickBot="1">
      <c r="A2" s="13" t="s">
        <v>1</v>
      </c>
      <c r="B2" s="3" t="s">
        <v>3</v>
      </c>
      <c r="C2" s="4"/>
      <c r="D2" s="10">
        <v>650</v>
      </c>
      <c r="E2" s="8"/>
      <c r="G2" s="2"/>
      <c r="H2"/>
      <c r="I2" s="21" t="s">
        <v>472</v>
      </c>
      <c r="J2" s="22" t="s">
        <v>160</v>
      </c>
      <c r="K2" s="22" t="s">
        <v>161</v>
      </c>
      <c r="L2" s="23" t="s">
        <v>162</v>
      </c>
      <c r="M2" s="23" t="s">
        <v>163</v>
      </c>
      <c r="N2" s="23" t="s">
        <v>164</v>
      </c>
      <c r="O2" s="23" t="s">
        <v>165</v>
      </c>
      <c r="P2" s="23" t="s">
        <v>166</v>
      </c>
      <c r="Q2" s="24" t="s">
        <v>167</v>
      </c>
      <c r="AD2" s="35"/>
      <c r="AE2" s="36" t="str">
        <f>Computation!C51</f>
        <v>XC1</v>
      </c>
      <c r="AI2" s="70"/>
      <c r="AJ2" s="71" t="str">
        <f>Computation!C51</f>
        <v>XC1</v>
      </c>
      <c r="AM2" s="70"/>
      <c r="AN2" s="71" t="str">
        <f>Computation!C51</f>
        <v>XC1</v>
      </c>
    </row>
    <row r="3" spans="1:40" ht="37.5" thickBot="1" thickTop="1">
      <c r="A3" s="13" t="s">
        <v>1</v>
      </c>
      <c r="B3" s="3" t="s">
        <v>4</v>
      </c>
      <c r="C3" s="4"/>
      <c r="D3" s="10">
        <v>700</v>
      </c>
      <c r="E3" s="8"/>
      <c r="H3">
        <v>1</v>
      </c>
      <c r="I3" s="25" t="s">
        <v>168</v>
      </c>
      <c r="J3" s="26">
        <v>10</v>
      </c>
      <c r="K3" s="26">
        <v>10</v>
      </c>
      <c r="L3" s="27">
        <v>10</v>
      </c>
      <c r="M3" s="27">
        <v>10</v>
      </c>
      <c r="N3" s="27">
        <v>15</v>
      </c>
      <c r="O3" s="27">
        <v>20</v>
      </c>
      <c r="P3" s="27">
        <v>25</v>
      </c>
      <c r="Q3" s="28">
        <v>30</v>
      </c>
      <c r="AC3" s="1">
        <f>Computation!C50</f>
        <v>50</v>
      </c>
      <c r="AD3" s="37" t="s">
        <v>168</v>
      </c>
      <c r="AE3" s="16">
        <f>HLOOKUP(AE2,J2:Q8,2,FALSE)</f>
        <v>10</v>
      </c>
      <c r="AH3" s="1">
        <f>Computation!C50</f>
        <v>50</v>
      </c>
      <c r="AI3" s="72" t="s">
        <v>168</v>
      </c>
      <c r="AJ3" s="73">
        <f>HLOOKUP($AJ$2,$J$2:$Q$8,2,FALSE)</f>
        <v>10</v>
      </c>
      <c r="AL3" s="1">
        <f>Computation!C50</f>
        <v>50</v>
      </c>
      <c r="AM3" s="72" t="s">
        <v>168</v>
      </c>
      <c r="AN3" s="73">
        <f>HLOOKUP($AN$2,$J$2:$Q$8,2,FALSE)</f>
        <v>10</v>
      </c>
    </row>
    <row r="4" spans="1:40" ht="36.75" thickBot="1">
      <c r="A4" s="13" t="s">
        <v>1</v>
      </c>
      <c r="B4" s="3" t="s">
        <v>5</v>
      </c>
      <c r="C4" s="4"/>
      <c r="D4" s="10">
        <v>1200</v>
      </c>
      <c r="E4" s="8"/>
      <c r="H4">
        <v>2</v>
      </c>
      <c r="I4" s="25" t="s">
        <v>169</v>
      </c>
      <c r="J4" s="26">
        <v>10</v>
      </c>
      <c r="K4" s="26">
        <v>10</v>
      </c>
      <c r="L4" s="27">
        <v>15</v>
      </c>
      <c r="M4" s="27">
        <v>15</v>
      </c>
      <c r="N4" s="27">
        <v>20</v>
      </c>
      <c r="O4" s="27">
        <v>25</v>
      </c>
      <c r="P4" s="27">
        <v>30</v>
      </c>
      <c r="Q4" s="28">
        <v>35</v>
      </c>
      <c r="AC4" s="1">
        <f>IF(AC3=50,3,IF(AC3=80,4,5))</f>
        <v>3</v>
      </c>
      <c r="AD4" s="37" t="s">
        <v>169</v>
      </c>
      <c r="AE4" s="16">
        <f>HLOOKUP(AE2,J2:Q8,3,FALSE)</f>
        <v>10</v>
      </c>
      <c r="AH4" s="1">
        <f>IF(AH3=50,4,IF(AH3=80,5,6))</f>
        <v>4</v>
      </c>
      <c r="AI4" s="72" t="s">
        <v>169</v>
      </c>
      <c r="AJ4" s="73">
        <f>HLOOKUP($AJ$2,$J$2:$Q$8,3,FALSE)</f>
        <v>10</v>
      </c>
      <c r="AL4" s="1">
        <f>IF(AL3=50,4,IF(AL3=80,5,6))</f>
        <v>4</v>
      </c>
      <c r="AM4" s="72" t="s">
        <v>169</v>
      </c>
      <c r="AN4" s="73">
        <f>HLOOKUP($AN$2,$J$2:$Q$8,3,FALSE)</f>
        <v>10</v>
      </c>
    </row>
    <row r="5" spans="1:40" ht="36.75" thickBot="1">
      <c r="A5" s="13" t="s">
        <v>1</v>
      </c>
      <c r="B5" s="3" t="s">
        <v>6</v>
      </c>
      <c r="C5" s="4" t="s">
        <v>7</v>
      </c>
      <c r="D5" s="10">
        <v>750</v>
      </c>
      <c r="E5" s="8"/>
      <c r="H5">
        <v>3</v>
      </c>
      <c r="I5" s="25" t="s">
        <v>170</v>
      </c>
      <c r="J5" s="26">
        <v>10</v>
      </c>
      <c r="K5" s="26">
        <v>10</v>
      </c>
      <c r="L5" s="27">
        <v>20</v>
      </c>
      <c r="M5" s="27">
        <v>20</v>
      </c>
      <c r="N5" s="27">
        <v>25</v>
      </c>
      <c r="O5" s="27">
        <v>30</v>
      </c>
      <c r="P5" s="27">
        <v>35</v>
      </c>
      <c r="Q5" s="28">
        <v>40</v>
      </c>
      <c r="AD5" s="37" t="s">
        <v>170</v>
      </c>
      <c r="AE5" s="16">
        <f>HLOOKUP(AE2,J2:Q8,4,FALSE)</f>
        <v>10</v>
      </c>
      <c r="AI5" s="72" t="s">
        <v>170</v>
      </c>
      <c r="AJ5" s="73">
        <f>HLOOKUP($AJ$2,$J$2:$Q$8,4,FALSE)</f>
        <v>10</v>
      </c>
      <c r="AM5" s="72" t="s">
        <v>170</v>
      </c>
      <c r="AN5" s="73">
        <f>HLOOKUP($AN$2,$J$2:$Q$8,4,FALSE)</f>
        <v>10</v>
      </c>
    </row>
    <row r="6" spans="1:40" ht="36.75" thickBot="1">
      <c r="A6" s="13" t="s">
        <v>1</v>
      </c>
      <c r="B6" s="3" t="s">
        <v>6</v>
      </c>
      <c r="C6" s="4" t="s">
        <v>8</v>
      </c>
      <c r="D6" s="10">
        <v>300</v>
      </c>
      <c r="E6" s="8"/>
      <c r="H6">
        <v>4</v>
      </c>
      <c r="I6" s="29" t="s">
        <v>171</v>
      </c>
      <c r="J6" s="30">
        <v>10</v>
      </c>
      <c r="K6" s="30">
        <v>15</v>
      </c>
      <c r="L6" s="27">
        <v>25</v>
      </c>
      <c r="M6" s="27">
        <v>25</v>
      </c>
      <c r="N6" s="27">
        <v>30</v>
      </c>
      <c r="O6" s="27">
        <v>35</v>
      </c>
      <c r="P6" s="27">
        <v>40</v>
      </c>
      <c r="Q6" s="28">
        <v>45</v>
      </c>
      <c r="AD6" s="37" t="s">
        <v>171</v>
      </c>
      <c r="AE6" s="16">
        <f>HLOOKUP(AE2,J2:Q8,5,FALSE)</f>
        <v>15</v>
      </c>
      <c r="AI6" s="72" t="s">
        <v>171</v>
      </c>
      <c r="AJ6" s="73">
        <f>HLOOKUP($AJ$2,$J$2:$Q$8,5,FALSE)</f>
        <v>15</v>
      </c>
      <c r="AM6" s="72" t="s">
        <v>171</v>
      </c>
      <c r="AN6" s="73">
        <f>HLOOKUP($AN$2,$J$2:$Q$8,5,FALSE)</f>
        <v>15</v>
      </c>
    </row>
    <row r="7" spans="1:40" ht="37.5" thickBot="1" thickTop="1">
      <c r="A7" s="13" t="s">
        <v>1</v>
      </c>
      <c r="B7" s="3" t="s">
        <v>6</v>
      </c>
      <c r="C7" s="4" t="s">
        <v>9</v>
      </c>
      <c r="D7" s="10">
        <v>850</v>
      </c>
      <c r="E7" s="8"/>
      <c r="H7">
        <v>5</v>
      </c>
      <c r="I7" s="29" t="s">
        <v>172</v>
      </c>
      <c r="J7" s="30">
        <v>15</v>
      </c>
      <c r="K7" s="31">
        <v>20</v>
      </c>
      <c r="L7" s="27">
        <v>30</v>
      </c>
      <c r="M7" s="27">
        <v>30</v>
      </c>
      <c r="N7" s="27">
        <v>35</v>
      </c>
      <c r="O7" s="27">
        <v>40</v>
      </c>
      <c r="P7" s="27">
        <v>45</v>
      </c>
      <c r="Q7" s="28">
        <v>50</v>
      </c>
      <c r="AD7" s="37" t="s">
        <v>172</v>
      </c>
      <c r="AE7" s="16">
        <f>HLOOKUP(AE2,J2:Q8,6,FALSE)</f>
        <v>20</v>
      </c>
      <c r="AI7" s="72" t="s">
        <v>172</v>
      </c>
      <c r="AJ7" s="73">
        <f>HLOOKUP($AJ$2,$J$2:$Q$8,6,FALSE)</f>
        <v>20</v>
      </c>
      <c r="AM7" s="72" t="s">
        <v>172</v>
      </c>
      <c r="AN7" s="73">
        <f>HLOOKUP($AN$2,$J$2:$Q$8,6,FALSE)</f>
        <v>20</v>
      </c>
    </row>
    <row r="8" spans="1:40" ht="37.5" thickBot="1" thickTop="1">
      <c r="A8" s="13" t="s">
        <v>1</v>
      </c>
      <c r="B8" s="3" t="s">
        <v>6</v>
      </c>
      <c r="C8" s="4" t="s">
        <v>10</v>
      </c>
      <c r="D8" s="10">
        <v>450</v>
      </c>
      <c r="E8" s="8"/>
      <c r="H8">
        <v>6</v>
      </c>
      <c r="I8" s="32" t="s">
        <v>173</v>
      </c>
      <c r="J8" s="33">
        <v>20</v>
      </c>
      <c r="K8" s="33">
        <v>25</v>
      </c>
      <c r="L8" s="33">
        <v>35</v>
      </c>
      <c r="M8" s="33">
        <v>35</v>
      </c>
      <c r="N8" s="33">
        <v>40</v>
      </c>
      <c r="O8" s="33">
        <v>45</v>
      </c>
      <c r="P8" s="33">
        <v>50</v>
      </c>
      <c r="Q8" s="34">
        <v>55</v>
      </c>
      <c r="AD8" s="41" t="s">
        <v>173</v>
      </c>
      <c r="AE8" s="17">
        <f>HLOOKUP(AE2,J2:Q8,7,FALSE)</f>
        <v>25</v>
      </c>
      <c r="AI8" s="74" t="s">
        <v>173</v>
      </c>
      <c r="AJ8" s="75">
        <f>HLOOKUP($AJ$2,$J$2:$Q$8,7,FALSE)</f>
        <v>25</v>
      </c>
      <c r="AM8" s="74" t="s">
        <v>173</v>
      </c>
      <c r="AN8" s="75">
        <f>HLOOKUP($AN$2,$J$2:$Q$8,7,FALSE)</f>
        <v>25</v>
      </c>
    </row>
    <row r="9" spans="1:17" ht="15" thickTop="1">
      <c r="A9" s="13" t="s">
        <v>1</v>
      </c>
      <c r="B9" s="3" t="s">
        <v>6</v>
      </c>
      <c r="C9" s="4" t="s">
        <v>11</v>
      </c>
      <c r="D9" s="10">
        <v>1050</v>
      </c>
      <c r="E9" s="8"/>
      <c r="G9" s="2"/>
      <c r="H9"/>
      <c r="I9"/>
      <c r="J9"/>
      <c r="K9"/>
      <c r="L9"/>
      <c r="M9"/>
      <c r="N9"/>
      <c r="O9"/>
      <c r="P9"/>
      <c r="Q9"/>
    </row>
    <row r="10" spans="1:58" ht="19.5">
      <c r="A10" s="13" t="s">
        <v>1</v>
      </c>
      <c r="B10" s="3" t="s">
        <v>6</v>
      </c>
      <c r="C10" s="4" t="s">
        <v>12</v>
      </c>
      <c r="D10" s="10">
        <v>550</v>
      </c>
      <c r="E10" s="8"/>
      <c r="G10" s="2"/>
      <c r="H10"/>
      <c r="K10"/>
      <c r="L10" s="42"/>
      <c r="M10" s="42"/>
      <c r="N10"/>
      <c r="O10"/>
      <c r="P10"/>
      <c r="Q10"/>
      <c r="Y10" s="196" t="s">
        <v>253</v>
      </c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R10" s="196" t="s">
        <v>253</v>
      </c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</row>
    <row r="11" spans="1:58" ht="14.25">
      <c r="A11" s="13" t="s">
        <v>1</v>
      </c>
      <c r="B11" s="3" t="s">
        <v>13</v>
      </c>
      <c r="C11" s="4"/>
      <c r="D11" s="10">
        <v>750</v>
      </c>
      <c r="E11" s="8"/>
      <c r="G11" s="2"/>
      <c r="H11" s="15"/>
      <c r="K11" s="15"/>
      <c r="L11" s="42"/>
      <c r="M11" s="42"/>
      <c r="N11"/>
      <c r="O11"/>
      <c r="P11"/>
      <c r="Q11"/>
      <c r="Y11" s="79"/>
      <c r="Z11" s="79"/>
      <c r="AA11" s="79"/>
      <c r="AB11" s="79"/>
      <c r="AC11" s="79"/>
      <c r="AD11" s="79" t="s">
        <v>184</v>
      </c>
      <c r="AE11" s="79">
        <f>0.0013*1000*Computation!B27-Computation!C58-Computation!C49/2</f>
        <v>170</v>
      </c>
      <c r="AF11" s="79" t="s">
        <v>177</v>
      </c>
      <c r="AG11" s="79"/>
      <c r="AH11" s="79" t="s">
        <v>230</v>
      </c>
      <c r="AI11" s="79">
        <f>MIN(2*Computation!B27,300)</f>
        <v>300</v>
      </c>
      <c r="AJ11" s="79"/>
      <c r="AK11" s="79"/>
      <c r="AL11" s="79"/>
      <c r="AM11" s="79"/>
      <c r="AR11" s="79"/>
      <c r="AS11" s="79"/>
      <c r="AT11" s="79"/>
      <c r="AU11" s="79"/>
      <c r="AV11" s="79"/>
      <c r="AW11" s="79" t="s">
        <v>184</v>
      </c>
      <c r="AX11" s="79">
        <f>AE11</f>
        <v>170</v>
      </c>
      <c r="AY11" s="79" t="s">
        <v>177</v>
      </c>
      <c r="AZ11" s="79"/>
      <c r="BA11" s="79" t="s">
        <v>230</v>
      </c>
      <c r="BB11" s="79">
        <f>MIN(2*Computation!B27,300)</f>
        <v>300</v>
      </c>
      <c r="BC11" s="79"/>
      <c r="BD11" s="79"/>
      <c r="BE11" s="79"/>
      <c r="BF11" s="79"/>
    </row>
    <row r="12" spans="1:58" ht="18">
      <c r="A12" s="13" t="s">
        <v>14</v>
      </c>
      <c r="B12" s="3" t="s">
        <v>15</v>
      </c>
      <c r="C12" s="4"/>
      <c r="D12" s="10">
        <v>2700</v>
      </c>
      <c r="E12" s="8"/>
      <c r="G12" s="2"/>
      <c r="H12" s="38"/>
      <c r="K12" s="38"/>
      <c r="L12" s="42"/>
      <c r="M12" s="42"/>
      <c r="N12"/>
      <c r="O12"/>
      <c r="P12"/>
      <c r="Q12"/>
      <c r="Y12" s="79"/>
      <c r="Z12" s="79"/>
      <c r="AA12" s="79"/>
      <c r="AB12" s="79"/>
      <c r="AC12" s="79"/>
      <c r="AD12" s="79" t="s">
        <v>184</v>
      </c>
      <c r="AE12" s="79">
        <f>(0.26*Computation!C66*1000*(Computation!B27-Computation!C58-Computation!C49/2))/(Computation!F63)</f>
        <v>188.5</v>
      </c>
      <c r="AF12" s="79" t="s">
        <v>177</v>
      </c>
      <c r="AG12" s="79"/>
      <c r="AH12" s="79"/>
      <c r="AI12" s="79"/>
      <c r="AJ12" s="79"/>
      <c r="AK12" s="79"/>
      <c r="AL12" s="79"/>
      <c r="AM12" s="79"/>
      <c r="AR12" s="79"/>
      <c r="AS12" s="79"/>
      <c r="AT12" s="79"/>
      <c r="AU12" s="79"/>
      <c r="AV12" s="79"/>
      <c r="AW12" s="79" t="s">
        <v>184</v>
      </c>
      <c r="AX12" s="79">
        <f>AE12</f>
        <v>188.5</v>
      </c>
      <c r="AY12" s="79" t="s">
        <v>177</v>
      </c>
      <c r="AZ12" s="79"/>
      <c r="BA12" s="79"/>
      <c r="BB12" s="79"/>
      <c r="BC12" s="79"/>
      <c r="BD12" s="79"/>
      <c r="BE12" s="79"/>
      <c r="BF12" s="79"/>
    </row>
    <row r="13" spans="1:58" ht="20.25" thickBot="1">
      <c r="A13" s="13" t="s">
        <v>14</v>
      </c>
      <c r="B13" s="3" t="s">
        <v>16</v>
      </c>
      <c r="C13" s="4"/>
      <c r="D13" s="10">
        <v>2800</v>
      </c>
      <c r="E13" s="8"/>
      <c r="G13" s="2"/>
      <c r="H13" s="39"/>
      <c r="I13"/>
      <c r="J13" s="43" t="s">
        <v>178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 s="19"/>
      <c r="Z13" s="19"/>
      <c r="AA13" s="19"/>
      <c r="AB13" s="19"/>
      <c r="AC13" s="19"/>
      <c r="AD13" s="19"/>
      <c r="AE13" s="19">
        <f>MAX(AE11:AE12)</f>
        <v>188.5</v>
      </c>
      <c r="AF13" s="19"/>
      <c r="AG13" s="19"/>
      <c r="AH13" s="19"/>
      <c r="AI13" s="19"/>
      <c r="AJ13" s="19"/>
      <c r="AK13" s="19"/>
      <c r="AL13" s="19"/>
      <c r="AM13" s="19"/>
      <c r="AR13" s="79"/>
      <c r="AS13" s="79"/>
      <c r="AT13" s="79"/>
      <c r="AU13" s="79"/>
      <c r="AV13" s="79"/>
      <c r="AW13" s="79"/>
      <c r="AX13" s="79">
        <f>MAX(AX11:AX12)</f>
        <v>188.5</v>
      </c>
      <c r="AY13" s="79"/>
      <c r="AZ13" s="79"/>
      <c r="BA13" s="79"/>
      <c r="BB13" s="79"/>
      <c r="BC13" s="79"/>
      <c r="BD13" s="79"/>
      <c r="BE13" s="79"/>
      <c r="BF13" s="79"/>
    </row>
    <row r="14" spans="1:58" ht="18">
      <c r="A14" s="13" t="s">
        <v>14</v>
      </c>
      <c r="B14" s="3" t="s">
        <v>17</v>
      </c>
      <c r="C14" s="4"/>
      <c r="D14" s="10">
        <v>7200</v>
      </c>
      <c r="E14" s="8"/>
      <c r="G14" s="2"/>
      <c r="H14" s="40"/>
      <c r="I14"/>
      <c r="J14" s="198" t="s">
        <v>475</v>
      </c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200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</row>
    <row r="15" spans="1:58" ht="18.75" thickBot="1">
      <c r="A15" s="13" t="s">
        <v>14</v>
      </c>
      <c r="B15" s="3" t="s">
        <v>18</v>
      </c>
      <c r="C15" s="4"/>
      <c r="D15" s="10">
        <v>8900</v>
      </c>
      <c r="E15" s="8"/>
      <c r="G15" s="2"/>
      <c r="H15" s="40"/>
      <c r="I15"/>
      <c r="J15" s="214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6"/>
      <c r="Y15" s="19"/>
      <c r="Z15" s="19"/>
      <c r="AA15" s="19" t="s">
        <v>179</v>
      </c>
      <c r="AB15" s="19">
        <f>MAX(AE13,Computation!C100)</f>
        <v>188.5</v>
      </c>
      <c r="AC15" s="19"/>
      <c r="AD15" s="19" t="s">
        <v>180</v>
      </c>
      <c r="AE15" s="78">
        <f>AB15+AB16</f>
        <v>190</v>
      </c>
      <c r="AF15" s="19"/>
      <c r="AG15" s="19" t="s">
        <v>181</v>
      </c>
      <c r="AH15" s="19">
        <f>HLOOKUP(AB16,AA53:AM54,2,FALSE)</f>
        <v>1</v>
      </c>
      <c r="AI15" s="19"/>
      <c r="AJ15" s="19"/>
      <c r="AK15" s="19"/>
      <c r="AL15" s="19"/>
      <c r="AM15" s="19"/>
      <c r="AR15" s="79"/>
      <c r="AS15" s="79"/>
      <c r="AT15" s="79" t="s">
        <v>179</v>
      </c>
      <c r="AU15" s="93">
        <f>MAX(Computation!C124,AX13)</f>
        <v>188.5</v>
      </c>
      <c r="AV15" s="79"/>
      <c r="AW15" s="79" t="s">
        <v>180</v>
      </c>
      <c r="AX15" s="93">
        <f>AU15+AU16</f>
        <v>190</v>
      </c>
      <c r="AY15" s="79"/>
      <c r="AZ15" s="79" t="s">
        <v>181</v>
      </c>
      <c r="BA15" s="79">
        <f>HLOOKUP(AU16,AT53:BF54,2,FALSE)</f>
        <v>1</v>
      </c>
      <c r="BB15" s="79"/>
      <c r="BC15" s="79"/>
      <c r="BD15" s="79"/>
      <c r="BE15" s="79"/>
      <c r="BF15" s="79"/>
    </row>
    <row r="16" spans="1:58" ht="15.75" thickTop="1">
      <c r="A16" s="13" t="s">
        <v>14</v>
      </c>
      <c r="B16" s="3" t="s">
        <v>19</v>
      </c>
      <c r="C16" s="4"/>
      <c r="D16" s="10">
        <v>7850</v>
      </c>
      <c r="E16" s="8"/>
      <c r="G16" s="2"/>
      <c r="H16"/>
      <c r="I16"/>
      <c r="J16" s="44"/>
      <c r="K16" s="217" t="s">
        <v>476</v>
      </c>
      <c r="L16" s="217"/>
      <c r="M16" s="217"/>
      <c r="N16" s="217"/>
      <c r="O16" s="217"/>
      <c r="P16" s="217"/>
      <c r="Q16" s="217"/>
      <c r="R16" s="217"/>
      <c r="S16" s="217"/>
      <c r="T16" s="217"/>
      <c r="U16" s="217"/>
      <c r="V16" s="217"/>
      <c r="W16" s="217"/>
      <c r="X16" s="45"/>
      <c r="Y16" s="19"/>
      <c r="Z16" s="19"/>
      <c r="AA16" s="19"/>
      <c r="AB16" s="78">
        <f>MIN(AA53:AM53)</f>
        <v>1.5</v>
      </c>
      <c r="AC16" s="19"/>
      <c r="AD16" s="19" t="s">
        <v>182</v>
      </c>
      <c r="AE16" s="19">
        <f>HLOOKUP(AH15,K18:W19,2,FALSE)</f>
        <v>5.5</v>
      </c>
      <c r="AF16" s="19"/>
      <c r="AG16" s="19"/>
      <c r="AH16" s="19"/>
      <c r="AI16" s="19"/>
      <c r="AJ16" s="19"/>
      <c r="AK16" s="19"/>
      <c r="AL16" s="19"/>
      <c r="AM16" s="19"/>
      <c r="AR16" s="79"/>
      <c r="AS16" s="79"/>
      <c r="AT16" s="79"/>
      <c r="AU16" s="79">
        <f>MIN(AT53:BF53)</f>
        <v>1.5</v>
      </c>
      <c r="AV16" s="79"/>
      <c r="AW16" s="79" t="s">
        <v>182</v>
      </c>
      <c r="AX16" s="79">
        <f>HLOOKUP(BA15,K18:W19,2,FALSE)</f>
        <v>5.5</v>
      </c>
      <c r="AY16" s="79"/>
      <c r="AZ16" s="79"/>
      <c r="BA16" s="79"/>
      <c r="BB16" s="79"/>
      <c r="BC16" s="79"/>
      <c r="BD16" s="79"/>
      <c r="BE16" s="79"/>
      <c r="BF16" s="79"/>
    </row>
    <row r="17" spans="1:58" ht="18.75" thickBot="1">
      <c r="A17" s="13" t="s">
        <v>14</v>
      </c>
      <c r="B17" s="3" t="s">
        <v>20</v>
      </c>
      <c r="C17" s="4"/>
      <c r="D17" s="10">
        <v>8000</v>
      </c>
      <c r="E17" s="8"/>
      <c r="G17" s="2"/>
      <c r="H17"/>
      <c r="I17"/>
      <c r="J17" s="46" t="s">
        <v>477</v>
      </c>
      <c r="K17" s="47">
        <v>5.5</v>
      </c>
      <c r="L17" s="47">
        <v>6</v>
      </c>
      <c r="M17" s="47">
        <v>6.5</v>
      </c>
      <c r="N17" s="47">
        <v>7</v>
      </c>
      <c r="O17" s="47">
        <v>8</v>
      </c>
      <c r="P17" s="47">
        <v>10</v>
      </c>
      <c r="Q17" s="47">
        <v>12</v>
      </c>
      <c r="R17" s="47">
        <v>14</v>
      </c>
      <c r="S17" s="47">
        <v>16</v>
      </c>
      <c r="T17" s="47">
        <v>18</v>
      </c>
      <c r="U17" s="47">
        <v>20</v>
      </c>
      <c r="V17" s="47">
        <v>22</v>
      </c>
      <c r="W17" s="47">
        <v>25</v>
      </c>
      <c r="X17" s="48" t="s">
        <v>477</v>
      </c>
      <c r="Y17" s="19"/>
      <c r="Z17" s="19"/>
      <c r="AA17" s="19"/>
      <c r="AB17" s="19"/>
      <c r="AC17" s="19"/>
      <c r="AD17" s="80" t="s">
        <v>183</v>
      </c>
      <c r="AE17" s="19">
        <f>MIN((LOOKUP(AE15,Z20:Z52,Y20:Y52)),AI11)</f>
        <v>125</v>
      </c>
      <c r="AF17" s="19"/>
      <c r="AG17" s="19"/>
      <c r="AH17" s="19"/>
      <c r="AI17" s="19"/>
      <c r="AJ17" s="19"/>
      <c r="AK17" s="19"/>
      <c r="AL17" s="19"/>
      <c r="AM17" s="19"/>
      <c r="AN17" s="208" t="s">
        <v>254</v>
      </c>
      <c r="AO17" s="208"/>
      <c r="AP17" s="208"/>
      <c r="AQ17" s="208"/>
      <c r="AR17" s="79"/>
      <c r="AS17" s="79"/>
      <c r="AT17" s="79"/>
      <c r="AU17" s="79"/>
      <c r="AV17" s="79"/>
      <c r="AW17" s="79" t="s">
        <v>183</v>
      </c>
      <c r="AX17" s="79">
        <f>MIN((LOOKUP(AX15,AS20:AS52,AR20:AR52)),BB11)</f>
        <v>125</v>
      </c>
      <c r="AY17" s="79"/>
      <c r="AZ17" s="79"/>
      <c r="BA17" s="79"/>
      <c r="BB17" s="79"/>
      <c r="BC17" s="79"/>
      <c r="BD17" s="79"/>
      <c r="BE17" s="79"/>
      <c r="BF17" s="79"/>
    </row>
    <row r="18" spans="1:58" ht="15.75" thickTop="1">
      <c r="A18" s="13" t="s">
        <v>21</v>
      </c>
      <c r="B18" s="3" t="s">
        <v>22</v>
      </c>
      <c r="C18" s="4"/>
      <c r="D18" s="10">
        <v>1900</v>
      </c>
      <c r="E18" s="8"/>
      <c r="G18" s="2"/>
      <c r="I18"/>
      <c r="J18" s="49" t="s">
        <v>156</v>
      </c>
      <c r="K18" s="50">
        <v>1</v>
      </c>
      <c r="L18" s="50">
        <v>2</v>
      </c>
      <c r="M18" s="50">
        <v>3</v>
      </c>
      <c r="N18" s="50">
        <v>4</v>
      </c>
      <c r="O18" s="50">
        <v>5</v>
      </c>
      <c r="P18" s="50">
        <v>6</v>
      </c>
      <c r="Q18" s="50">
        <v>7</v>
      </c>
      <c r="R18" s="50">
        <v>8</v>
      </c>
      <c r="S18" s="50">
        <v>9</v>
      </c>
      <c r="T18" s="50">
        <v>10</v>
      </c>
      <c r="U18" s="50">
        <v>11</v>
      </c>
      <c r="V18" s="50">
        <v>12</v>
      </c>
      <c r="W18" s="50">
        <v>13</v>
      </c>
      <c r="X18" s="51" t="s">
        <v>156</v>
      </c>
      <c r="Y18" s="19"/>
      <c r="Z18" s="19"/>
      <c r="AA18" s="81">
        <v>5.5</v>
      </c>
      <c r="AB18" s="82">
        <v>6</v>
      </c>
      <c r="AC18" s="82">
        <v>6.5</v>
      </c>
      <c r="AD18" s="82">
        <v>7</v>
      </c>
      <c r="AE18" s="82">
        <v>8</v>
      </c>
      <c r="AF18" s="82">
        <v>10</v>
      </c>
      <c r="AG18" s="82">
        <v>12</v>
      </c>
      <c r="AH18" s="82">
        <v>14</v>
      </c>
      <c r="AI18" s="82">
        <v>16</v>
      </c>
      <c r="AJ18" s="82">
        <v>18</v>
      </c>
      <c r="AK18" s="82">
        <v>20</v>
      </c>
      <c r="AL18" s="82">
        <v>22</v>
      </c>
      <c r="AM18" s="83">
        <v>25</v>
      </c>
      <c r="AN18" s="168"/>
      <c r="AO18" s="103" t="s">
        <v>234</v>
      </c>
      <c r="AP18" s="104" t="s">
        <v>235</v>
      </c>
      <c r="AQ18" s="106" t="s">
        <v>267</v>
      </c>
      <c r="AR18" s="79"/>
      <c r="AS18" s="79"/>
      <c r="AT18" s="94">
        <v>5.5</v>
      </c>
      <c r="AU18" s="95">
        <v>6</v>
      </c>
      <c r="AV18" s="95">
        <v>6.5</v>
      </c>
      <c r="AW18" s="95">
        <v>7</v>
      </c>
      <c r="AX18" s="95">
        <v>8</v>
      </c>
      <c r="AY18" s="95">
        <v>10</v>
      </c>
      <c r="AZ18" s="95">
        <v>12</v>
      </c>
      <c r="BA18" s="95">
        <v>14</v>
      </c>
      <c r="BB18" s="95">
        <v>16</v>
      </c>
      <c r="BC18" s="95">
        <v>18</v>
      </c>
      <c r="BD18" s="95">
        <v>20</v>
      </c>
      <c r="BE18" s="95">
        <v>22</v>
      </c>
      <c r="BF18" s="96">
        <v>25</v>
      </c>
    </row>
    <row r="19" spans="1:58" ht="28.5">
      <c r="A19" s="13" t="s">
        <v>21</v>
      </c>
      <c r="B19" s="3" t="s">
        <v>23</v>
      </c>
      <c r="C19" s="4"/>
      <c r="D19" s="10">
        <v>2400</v>
      </c>
      <c r="E19" s="8"/>
      <c r="G19" s="2"/>
      <c r="I19"/>
      <c r="J19" s="53"/>
      <c r="K19" s="52">
        <v>5.5</v>
      </c>
      <c r="L19" s="52">
        <v>6</v>
      </c>
      <c r="M19" s="52">
        <v>6.5</v>
      </c>
      <c r="N19" s="52">
        <v>7</v>
      </c>
      <c r="O19" s="52">
        <v>8</v>
      </c>
      <c r="P19" s="52">
        <v>10</v>
      </c>
      <c r="Q19" s="52">
        <v>12</v>
      </c>
      <c r="R19" s="52">
        <v>14</v>
      </c>
      <c r="S19" s="52">
        <v>16</v>
      </c>
      <c r="T19" s="52">
        <v>18</v>
      </c>
      <c r="U19" s="52">
        <v>20</v>
      </c>
      <c r="V19" s="52">
        <v>22</v>
      </c>
      <c r="W19" s="52">
        <v>25</v>
      </c>
      <c r="X19" s="54"/>
      <c r="Y19" s="19"/>
      <c r="Z19" s="19">
        <f>HLOOKUP(AH15,K18:W52,2,FALSE)</f>
        <v>5.5</v>
      </c>
      <c r="AA19" s="84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6"/>
      <c r="AN19" s="168"/>
      <c r="AO19" s="105">
        <f>Computation!C106</f>
        <v>5.5</v>
      </c>
      <c r="AP19" s="107">
        <f>Computation!C131</f>
        <v>5.5</v>
      </c>
      <c r="AQ19" s="106">
        <f>Computation!C229</f>
        <v>8</v>
      </c>
      <c r="AR19" s="79"/>
      <c r="AS19" s="79">
        <f>HLOOKUP(BA15,K18:W52,2,FALSE)</f>
        <v>5.5</v>
      </c>
      <c r="AT19" s="97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9"/>
    </row>
    <row r="20" spans="1:58" ht="42.75">
      <c r="A20" s="13" t="s">
        <v>21</v>
      </c>
      <c r="B20" s="3" t="s">
        <v>24</v>
      </c>
      <c r="C20" s="4"/>
      <c r="D20" s="10">
        <v>2600</v>
      </c>
      <c r="E20" s="8"/>
      <c r="G20" s="2"/>
      <c r="I20"/>
      <c r="J20" s="55">
        <v>70</v>
      </c>
      <c r="K20" s="56">
        <v>339</v>
      </c>
      <c r="L20" s="56">
        <v>404</v>
      </c>
      <c r="M20" s="56">
        <v>474</v>
      </c>
      <c r="N20" s="56">
        <v>550</v>
      </c>
      <c r="O20" s="56">
        <v>718</v>
      </c>
      <c r="P20" s="56">
        <v>1122</v>
      </c>
      <c r="Q20" s="56">
        <v>1616</v>
      </c>
      <c r="R20" s="56">
        <v>2199</v>
      </c>
      <c r="S20" s="56">
        <v>2872</v>
      </c>
      <c r="T20" s="56">
        <v>3635</v>
      </c>
      <c r="U20" s="56">
        <v>4488</v>
      </c>
      <c r="V20" s="56">
        <v>5430</v>
      </c>
      <c r="W20" s="56">
        <v>7012</v>
      </c>
      <c r="X20" s="57">
        <v>70</v>
      </c>
      <c r="Y20" s="19">
        <v>300</v>
      </c>
      <c r="Z20" s="19">
        <f>HLOOKUP($AH$15,$K$18:$W$52,35,FALSE)</f>
        <v>79</v>
      </c>
      <c r="AA20" s="87">
        <f>IF((K20-$AB$15)&lt;=0," ",(K20-$AB$15))</f>
        <v>150.5</v>
      </c>
      <c r="AB20" s="88">
        <f aca="true" t="shared" si="0" ref="AB20:AM20">IF((L20-$AB$15)&lt;=0," ",(L20-$AB$15))</f>
        <v>215.5</v>
      </c>
      <c r="AC20" s="88">
        <f t="shared" si="0"/>
        <v>285.5</v>
      </c>
      <c r="AD20" s="88">
        <f t="shared" si="0"/>
        <v>361.5</v>
      </c>
      <c r="AE20" s="88">
        <f t="shared" si="0"/>
        <v>529.5</v>
      </c>
      <c r="AF20" s="88">
        <f t="shared" si="0"/>
        <v>933.5</v>
      </c>
      <c r="AG20" s="88">
        <f t="shared" si="0"/>
        <v>1427.5</v>
      </c>
      <c r="AH20" s="88">
        <f t="shared" si="0"/>
        <v>2010.5</v>
      </c>
      <c r="AI20" s="88">
        <f t="shared" si="0"/>
        <v>2683.5</v>
      </c>
      <c r="AJ20" s="88">
        <f t="shared" si="0"/>
        <v>3446.5</v>
      </c>
      <c r="AK20" s="88">
        <f t="shared" si="0"/>
        <v>4299.5</v>
      </c>
      <c r="AL20" s="88">
        <f t="shared" si="0"/>
        <v>5241.5</v>
      </c>
      <c r="AM20" s="89">
        <f t="shared" si="0"/>
        <v>6823.5</v>
      </c>
      <c r="AN20" s="168"/>
      <c r="AO20" s="105">
        <f>LOOKUP(AO19,K17:W17,K20:W20)</f>
        <v>339</v>
      </c>
      <c r="AP20" s="107">
        <f>LOOKUP($AP$19,$K$17:$W$17,K20:W20)</f>
        <v>339</v>
      </c>
      <c r="AQ20" s="106">
        <f>LOOKUP($AQ$19,$K$17:$W$17,K20:W20)</f>
        <v>718</v>
      </c>
      <c r="AR20" s="79">
        <v>300</v>
      </c>
      <c r="AS20" s="79">
        <f>HLOOKUP($AH$15,$K$18:$W$52,35,FALSE)</f>
        <v>79</v>
      </c>
      <c r="AT20" s="97">
        <f aca="true" t="shared" si="1" ref="AT20:BF20">IF((K20-$AU$15)&lt;=0," ",(K20-$AU$15))</f>
        <v>150.5</v>
      </c>
      <c r="AU20" s="98">
        <f t="shared" si="1"/>
        <v>215.5</v>
      </c>
      <c r="AV20" s="98">
        <f t="shared" si="1"/>
        <v>285.5</v>
      </c>
      <c r="AW20" s="98">
        <f t="shared" si="1"/>
        <v>361.5</v>
      </c>
      <c r="AX20" s="98">
        <f t="shared" si="1"/>
        <v>529.5</v>
      </c>
      <c r="AY20" s="98">
        <f t="shared" si="1"/>
        <v>933.5</v>
      </c>
      <c r="AZ20" s="98">
        <f t="shared" si="1"/>
        <v>1427.5</v>
      </c>
      <c r="BA20" s="98">
        <f t="shared" si="1"/>
        <v>2010.5</v>
      </c>
      <c r="BB20" s="98">
        <f t="shared" si="1"/>
        <v>2683.5</v>
      </c>
      <c r="BC20" s="98">
        <f t="shared" si="1"/>
        <v>3446.5</v>
      </c>
      <c r="BD20" s="98">
        <f t="shared" si="1"/>
        <v>4299.5</v>
      </c>
      <c r="BE20" s="98">
        <f t="shared" si="1"/>
        <v>5241.5</v>
      </c>
      <c r="BF20" s="99">
        <f t="shared" si="1"/>
        <v>6823.5</v>
      </c>
    </row>
    <row r="21" spans="1:58" ht="18">
      <c r="A21" s="13" t="s">
        <v>21</v>
      </c>
      <c r="B21" s="3" t="s">
        <v>25</v>
      </c>
      <c r="C21" s="4"/>
      <c r="D21" s="10">
        <v>2800</v>
      </c>
      <c r="E21" s="8"/>
      <c r="G21" s="2"/>
      <c r="I21"/>
      <c r="J21" s="55">
        <v>75</v>
      </c>
      <c r="K21" s="56">
        <v>317</v>
      </c>
      <c r="L21" s="56">
        <v>377</v>
      </c>
      <c r="M21" s="56">
        <v>442</v>
      </c>
      <c r="N21" s="56">
        <v>513</v>
      </c>
      <c r="O21" s="56">
        <v>670</v>
      </c>
      <c r="P21" s="56">
        <v>1047</v>
      </c>
      <c r="Q21" s="56">
        <v>1508</v>
      </c>
      <c r="R21" s="56">
        <v>2053</v>
      </c>
      <c r="S21" s="56">
        <v>2681</v>
      </c>
      <c r="T21" s="56">
        <v>3393</v>
      </c>
      <c r="U21" s="56">
        <v>4189</v>
      </c>
      <c r="V21" s="56">
        <v>5068</v>
      </c>
      <c r="W21" s="56">
        <v>6545</v>
      </c>
      <c r="X21" s="57">
        <v>75</v>
      </c>
      <c r="Y21" s="19">
        <v>250</v>
      </c>
      <c r="Z21" s="19">
        <f>HLOOKUP($AH$15,$K$18:$W$52,34,FALSE)</f>
        <v>95</v>
      </c>
      <c r="AA21" s="87">
        <f aca="true" t="shared" si="2" ref="AA21:AA52">IF((K21-$AB$15)&lt;=0," ",(K21-$AB$15))</f>
        <v>128.5</v>
      </c>
      <c r="AB21" s="88">
        <f aca="true" t="shared" si="3" ref="AB21:AB52">IF((L21-$AB$15)&lt;=0," ",(L21-$AB$15))</f>
        <v>188.5</v>
      </c>
      <c r="AC21" s="88">
        <f aca="true" t="shared" si="4" ref="AC21:AC52">IF((M21-$AB$15)&lt;=0," ",(M21-$AB$15))</f>
        <v>253.5</v>
      </c>
      <c r="AD21" s="88">
        <f aca="true" t="shared" si="5" ref="AD21:AD52">IF((N21-$AB$15)&lt;=0," ",(N21-$AB$15))</f>
        <v>324.5</v>
      </c>
      <c r="AE21" s="88">
        <f aca="true" t="shared" si="6" ref="AE21:AE52">IF((O21-$AB$15)&lt;=0," ",(O21-$AB$15))</f>
        <v>481.5</v>
      </c>
      <c r="AF21" s="88">
        <f aca="true" t="shared" si="7" ref="AF21:AF52">IF((P21-$AB$15)&lt;=0," ",(P21-$AB$15))</f>
        <v>858.5</v>
      </c>
      <c r="AG21" s="88">
        <f aca="true" t="shared" si="8" ref="AG21:AG52">IF((Q21-$AB$15)&lt;=0," ",(Q21-$AB$15))</f>
        <v>1319.5</v>
      </c>
      <c r="AH21" s="88">
        <f aca="true" t="shared" si="9" ref="AH21:AH52">IF((R21-$AB$15)&lt;=0," ",(R21-$AB$15))</f>
        <v>1864.5</v>
      </c>
      <c r="AI21" s="88">
        <f aca="true" t="shared" si="10" ref="AI21:AI52">IF((S21-$AB$15)&lt;=0," ",(S21-$AB$15))</f>
        <v>2492.5</v>
      </c>
      <c r="AJ21" s="88">
        <f aca="true" t="shared" si="11" ref="AJ21:AJ52">IF((T21-$AB$15)&lt;=0," ",(T21-$AB$15))</f>
        <v>3204.5</v>
      </c>
      <c r="AK21" s="88">
        <f aca="true" t="shared" si="12" ref="AK21:AK52">IF((U21-$AB$15)&lt;=0," ",(U21-$AB$15))</f>
        <v>4000.5</v>
      </c>
      <c r="AL21" s="88">
        <f aca="true" t="shared" si="13" ref="AL21:AL52">IF((V21-$AB$15)&lt;=0," ",(V21-$AB$15))</f>
        <v>4879.5</v>
      </c>
      <c r="AM21" s="89">
        <f aca="true" t="shared" si="14" ref="AM21:AM52">IF((W21-$AB$15)&lt;=0," ",(W21-$AB$15))</f>
        <v>6356.5</v>
      </c>
      <c r="AN21" s="168"/>
      <c r="AO21" s="105">
        <f>LOOKUP($AO$19,$K$17:$W$17,K21:W21)</f>
        <v>317</v>
      </c>
      <c r="AP21" s="107">
        <f aca="true" t="shared" si="15" ref="AP21:AP52">LOOKUP($AP$19,$K$17:$W$17,K21:W21)</f>
        <v>317</v>
      </c>
      <c r="AQ21" s="106">
        <f aca="true" t="shared" si="16" ref="AQ21:AQ52">LOOKUP($AQ$19,$K$17:$W$17,K21:W21)</f>
        <v>670</v>
      </c>
      <c r="AR21" s="79">
        <v>250</v>
      </c>
      <c r="AS21" s="79">
        <f>HLOOKUP($AH$15,$K$18:$W$52,34,FALSE)</f>
        <v>95</v>
      </c>
      <c r="AT21" s="97">
        <f aca="true" t="shared" si="17" ref="AT21:AT52">IF((K21-$AU$15)&lt;=0," ",(K21-$AU$15))</f>
        <v>128.5</v>
      </c>
      <c r="AU21" s="98">
        <f aca="true" t="shared" si="18" ref="AU21:AU52">IF((L21-$AU$15)&lt;=0," ",(L21-$AU$15))</f>
        <v>188.5</v>
      </c>
      <c r="AV21" s="98">
        <f aca="true" t="shared" si="19" ref="AV21:AV52">IF((M21-$AU$15)&lt;=0," ",(M21-$AU$15))</f>
        <v>253.5</v>
      </c>
      <c r="AW21" s="98">
        <f aca="true" t="shared" si="20" ref="AW21:AW52">IF((N21-$AU$15)&lt;=0," ",(N21-$AU$15))</f>
        <v>324.5</v>
      </c>
      <c r="AX21" s="98">
        <f aca="true" t="shared" si="21" ref="AX21:AX52">IF((O21-$AU$15)&lt;=0," ",(O21-$AU$15))</f>
        <v>481.5</v>
      </c>
      <c r="AY21" s="98">
        <f aca="true" t="shared" si="22" ref="AY21:AY52">IF((P21-$AU$15)&lt;=0," ",(P21-$AU$15))</f>
        <v>858.5</v>
      </c>
      <c r="AZ21" s="98">
        <f aca="true" t="shared" si="23" ref="AZ21:AZ52">IF((Q21-$AU$15)&lt;=0," ",(Q21-$AU$15))</f>
        <v>1319.5</v>
      </c>
      <c r="BA21" s="98">
        <f aca="true" t="shared" si="24" ref="BA21:BA52">IF((R21-$AU$15)&lt;=0," ",(R21-$AU$15))</f>
        <v>1864.5</v>
      </c>
      <c r="BB21" s="98">
        <f aca="true" t="shared" si="25" ref="BB21:BB52">IF((S21-$AU$15)&lt;=0," ",(S21-$AU$15))</f>
        <v>2492.5</v>
      </c>
      <c r="BC21" s="98">
        <f aca="true" t="shared" si="26" ref="BC21:BC52">IF((T21-$AU$15)&lt;=0," ",(T21-$AU$15))</f>
        <v>3204.5</v>
      </c>
      <c r="BD21" s="98">
        <f aca="true" t="shared" si="27" ref="BD21:BD52">IF((U21-$AU$15)&lt;=0," ",(U21-$AU$15))</f>
        <v>4000.5</v>
      </c>
      <c r="BE21" s="98">
        <f aca="true" t="shared" si="28" ref="BE21:BE52">IF((V21-$AU$15)&lt;=0," ",(V21-$AU$15))</f>
        <v>4879.5</v>
      </c>
      <c r="BF21" s="99">
        <f aca="true" t="shared" si="29" ref="BF21:BF52">IF((W21-$AU$15)&lt;=0," ",(W21-$AU$15))</f>
        <v>6356.5</v>
      </c>
    </row>
    <row r="22" spans="1:58" ht="18">
      <c r="A22" s="13" t="s">
        <v>26</v>
      </c>
      <c r="B22" s="3" t="s">
        <v>27</v>
      </c>
      <c r="C22" s="4" t="s">
        <v>28</v>
      </c>
      <c r="D22" s="10">
        <v>1900</v>
      </c>
      <c r="E22" s="8"/>
      <c r="G22" s="2"/>
      <c r="I22"/>
      <c r="J22" s="55">
        <v>80</v>
      </c>
      <c r="K22" s="56">
        <v>297</v>
      </c>
      <c r="L22" s="56">
        <v>353</v>
      </c>
      <c r="M22" s="56">
        <v>415</v>
      </c>
      <c r="N22" s="56">
        <v>481</v>
      </c>
      <c r="O22" s="56">
        <v>628</v>
      </c>
      <c r="P22" s="56">
        <v>982</v>
      </c>
      <c r="Q22" s="56">
        <v>1414</v>
      </c>
      <c r="R22" s="56">
        <v>1924</v>
      </c>
      <c r="S22" s="56">
        <v>2513</v>
      </c>
      <c r="T22" s="56">
        <v>3181</v>
      </c>
      <c r="U22" s="56">
        <v>3927</v>
      </c>
      <c r="V22" s="56">
        <v>4752</v>
      </c>
      <c r="W22" s="56">
        <v>6136</v>
      </c>
      <c r="X22" s="57">
        <v>80</v>
      </c>
      <c r="Y22" s="19">
        <v>240</v>
      </c>
      <c r="Z22" s="19">
        <f>HLOOKUP($AH$15,$K$18:$W$52,33,FALSE)</f>
        <v>99</v>
      </c>
      <c r="AA22" s="87">
        <f t="shared" si="2"/>
        <v>108.5</v>
      </c>
      <c r="AB22" s="88">
        <f t="shared" si="3"/>
        <v>164.5</v>
      </c>
      <c r="AC22" s="88">
        <f t="shared" si="4"/>
        <v>226.5</v>
      </c>
      <c r="AD22" s="88">
        <f t="shared" si="5"/>
        <v>292.5</v>
      </c>
      <c r="AE22" s="88">
        <f t="shared" si="6"/>
        <v>439.5</v>
      </c>
      <c r="AF22" s="88">
        <f t="shared" si="7"/>
        <v>793.5</v>
      </c>
      <c r="AG22" s="88">
        <f t="shared" si="8"/>
        <v>1225.5</v>
      </c>
      <c r="AH22" s="88">
        <f t="shared" si="9"/>
        <v>1735.5</v>
      </c>
      <c r="AI22" s="88">
        <f t="shared" si="10"/>
        <v>2324.5</v>
      </c>
      <c r="AJ22" s="88">
        <f t="shared" si="11"/>
        <v>2992.5</v>
      </c>
      <c r="AK22" s="88">
        <f t="shared" si="12"/>
        <v>3738.5</v>
      </c>
      <c r="AL22" s="88">
        <f t="shared" si="13"/>
        <v>4563.5</v>
      </c>
      <c r="AM22" s="89">
        <f t="shared" si="14"/>
        <v>5947.5</v>
      </c>
      <c r="AN22" s="168"/>
      <c r="AO22" s="105">
        <f aca="true" t="shared" si="30" ref="AO22:AO52">LOOKUP($AO$19,$K$17:$W$17,K22:W22)</f>
        <v>297</v>
      </c>
      <c r="AP22" s="107">
        <f t="shared" si="15"/>
        <v>297</v>
      </c>
      <c r="AQ22" s="106">
        <f t="shared" si="16"/>
        <v>628</v>
      </c>
      <c r="AR22" s="79">
        <v>240</v>
      </c>
      <c r="AS22" s="79">
        <f>HLOOKUP($AH$15,$K$18:$W$52,33,FALSE)</f>
        <v>99</v>
      </c>
      <c r="AT22" s="97">
        <f t="shared" si="17"/>
        <v>108.5</v>
      </c>
      <c r="AU22" s="98">
        <f t="shared" si="18"/>
        <v>164.5</v>
      </c>
      <c r="AV22" s="98">
        <f t="shared" si="19"/>
        <v>226.5</v>
      </c>
      <c r="AW22" s="98">
        <f t="shared" si="20"/>
        <v>292.5</v>
      </c>
      <c r="AX22" s="98">
        <f t="shared" si="21"/>
        <v>439.5</v>
      </c>
      <c r="AY22" s="98">
        <f t="shared" si="22"/>
        <v>793.5</v>
      </c>
      <c r="AZ22" s="98">
        <f t="shared" si="23"/>
        <v>1225.5</v>
      </c>
      <c r="BA22" s="98">
        <f t="shared" si="24"/>
        <v>1735.5</v>
      </c>
      <c r="BB22" s="98">
        <f t="shared" si="25"/>
        <v>2324.5</v>
      </c>
      <c r="BC22" s="98">
        <f t="shared" si="26"/>
        <v>2992.5</v>
      </c>
      <c r="BD22" s="98">
        <f t="shared" si="27"/>
        <v>3738.5</v>
      </c>
      <c r="BE22" s="98">
        <f t="shared" si="28"/>
        <v>4563.5</v>
      </c>
      <c r="BF22" s="99">
        <f t="shared" si="29"/>
        <v>5947.5</v>
      </c>
    </row>
    <row r="23" spans="1:58" ht="18">
      <c r="A23" s="13" t="s">
        <v>26</v>
      </c>
      <c r="B23" s="3" t="s">
        <v>27</v>
      </c>
      <c r="C23" s="4" t="s">
        <v>29</v>
      </c>
      <c r="D23" s="10">
        <v>2100</v>
      </c>
      <c r="E23" s="8"/>
      <c r="G23" s="2"/>
      <c r="I23"/>
      <c r="J23" s="55">
        <v>85</v>
      </c>
      <c r="K23" s="56">
        <v>280</v>
      </c>
      <c r="L23" s="56">
        <v>333</v>
      </c>
      <c r="M23" s="56">
        <v>390</v>
      </c>
      <c r="N23" s="56">
        <v>453</v>
      </c>
      <c r="O23" s="56">
        <v>591</v>
      </c>
      <c r="P23" s="56">
        <v>924</v>
      </c>
      <c r="Q23" s="56">
        <v>1331</v>
      </c>
      <c r="R23" s="56">
        <v>1811</v>
      </c>
      <c r="S23" s="56">
        <v>2365</v>
      </c>
      <c r="T23" s="56">
        <v>2994</v>
      </c>
      <c r="U23" s="56">
        <v>3696</v>
      </c>
      <c r="V23" s="56">
        <v>4472</v>
      </c>
      <c r="W23" s="56">
        <v>5775</v>
      </c>
      <c r="X23" s="57">
        <v>85</v>
      </c>
      <c r="Y23" s="19">
        <v>230</v>
      </c>
      <c r="Z23" s="19">
        <f>HLOOKUP($AH$15,$K$18:$W$52,32,FALSE)</f>
        <v>103</v>
      </c>
      <c r="AA23" s="87">
        <f t="shared" si="2"/>
        <v>91.5</v>
      </c>
      <c r="AB23" s="88">
        <f t="shared" si="3"/>
        <v>144.5</v>
      </c>
      <c r="AC23" s="88">
        <f t="shared" si="4"/>
        <v>201.5</v>
      </c>
      <c r="AD23" s="88">
        <f t="shared" si="5"/>
        <v>264.5</v>
      </c>
      <c r="AE23" s="88">
        <f t="shared" si="6"/>
        <v>402.5</v>
      </c>
      <c r="AF23" s="88">
        <f t="shared" si="7"/>
        <v>735.5</v>
      </c>
      <c r="AG23" s="88">
        <f t="shared" si="8"/>
        <v>1142.5</v>
      </c>
      <c r="AH23" s="88">
        <f t="shared" si="9"/>
        <v>1622.5</v>
      </c>
      <c r="AI23" s="88">
        <f t="shared" si="10"/>
        <v>2176.5</v>
      </c>
      <c r="AJ23" s="88">
        <f t="shared" si="11"/>
        <v>2805.5</v>
      </c>
      <c r="AK23" s="88">
        <f t="shared" si="12"/>
        <v>3507.5</v>
      </c>
      <c r="AL23" s="88">
        <f t="shared" si="13"/>
        <v>4283.5</v>
      </c>
      <c r="AM23" s="89">
        <f t="shared" si="14"/>
        <v>5586.5</v>
      </c>
      <c r="AN23" s="168"/>
      <c r="AO23" s="105">
        <f t="shared" si="30"/>
        <v>280</v>
      </c>
      <c r="AP23" s="107">
        <f t="shared" si="15"/>
        <v>280</v>
      </c>
      <c r="AQ23" s="106">
        <f t="shared" si="16"/>
        <v>591</v>
      </c>
      <c r="AR23" s="79">
        <v>230</v>
      </c>
      <c r="AS23" s="79">
        <f>HLOOKUP($AH$15,$K$18:$W$52,32,FALSE)</f>
        <v>103</v>
      </c>
      <c r="AT23" s="97">
        <f t="shared" si="17"/>
        <v>91.5</v>
      </c>
      <c r="AU23" s="98">
        <f t="shared" si="18"/>
        <v>144.5</v>
      </c>
      <c r="AV23" s="98">
        <f t="shared" si="19"/>
        <v>201.5</v>
      </c>
      <c r="AW23" s="98">
        <f t="shared" si="20"/>
        <v>264.5</v>
      </c>
      <c r="AX23" s="98">
        <f t="shared" si="21"/>
        <v>402.5</v>
      </c>
      <c r="AY23" s="98">
        <f t="shared" si="22"/>
        <v>735.5</v>
      </c>
      <c r="AZ23" s="98">
        <f t="shared" si="23"/>
        <v>1142.5</v>
      </c>
      <c r="BA23" s="98">
        <f t="shared" si="24"/>
        <v>1622.5</v>
      </c>
      <c r="BB23" s="98">
        <f t="shared" si="25"/>
        <v>2176.5</v>
      </c>
      <c r="BC23" s="98">
        <f t="shared" si="26"/>
        <v>2805.5</v>
      </c>
      <c r="BD23" s="98">
        <f t="shared" si="27"/>
        <v>3507.5</v>
      </c>
      <c r="BE23" s="98">
        <f t="shared" si="28"/>
        <v>4283.5</v>
      </c>
      <c r="BF23" s="99">
        <f t="shared" si="29"/>
        <v>5586.5</v>
      </c>
    </row>
    <row r="24" spans="1:58" ht="18">
      <c r="A24" s="13" t="s">
        <v>26</v>
      </c>
      <c r="B24" s="3" t="s">
        <v>27</v>
      </c>
      <c r="C24" s="4" t="s">
        <v>30</v>
      </c>
      <c r="D24" s="10">
        <v>1800</v>
      </c>
      <c r="E24" s="8"/>
      <c r="G24" s="2"/>
      <c r="I24"/>
      <c r="J24" s="55">
        <v>90</v>
      </c>
      <c r="K24" s="56">
        <v>264</v>
      </c>
      <c r="L24" s="56">
        <v>314</v>
      </c>
      <c r="M24" s="56">
        <v>369</v>
      </c>
      <c r="N24" s="56">
        <v>428</v>
      </c>
      <c r="O24" s="56">
        <v>559</v>
      </c>
      <c r="P24" s="56">
        <v>873</v>
      </c>
      <c r="Q24" s="56">
        <v>1257</v>
      </c>
      <c r="R24" s="56">
        <v>1710</v>
      </c>
      <c r="S24" s="56">
        <v>2234</v>
      </c>
      <c r="T24" s="56">
        <v>2827</v>
      </c>
      <c r="U24" s="56">
        <v>3491</v>
      </c>
      <c r="V24" s="56">
        <v>4224</v>
      </c>
      <c r="W24" s="56">
        <v>5454</v>
      </c>
      <c r="X24" s="57">
        <v>90</v>
      </c>
      <c r="Y24" s="19">
        <v>220</v>
      </c>
      <c r="Z24" s="19">
        <f>HLOOKUP($AH$15,$K$18:$W$52,31,FALSE)</f>
        <v>108</v>
      </c>
      <c r="AA24" s="87">
        <f t="shared" si="2"/>
        <v>75.5</v>
      </c>
      <c r="AB24" s="88">
        <f t="shared" si="3"/>
        <v>125.5</v>
      </c>
      <c r="AC24" s="88">
        <f t="shared" si="4"/>
        <v>180.5</v>
      </c>
      <c r="AD24" s="88">
        <f t="shared" si="5"/>
        <v>239.5</v>
      </c>
      <c r="AE24" s="88">
        <f t="shared" si="6"/>
        <v>370.5</v>
      </c>
      <c r="AF24" s="88">
        <f t="shared" si="7"/>
        <v>684.5</v>
      </c>
      <c r="AG24" s="88">
        <f t="shared" si="8"/>
        <v>1068.5</v>
      </c>
      <c r="AH24" s="88">
        <f t="shared" si="9"/>
        <v>1521.5</v>
      </c>
      <c r="AI24" s="88">
        <f t="shared" si="10"/>
        <v>2045.5</v>
      </c>
      <c r="AJ24" s="88">
        <f t="shared" si="11"/>
        <v>2638.5</v>
      </c>
      <c r="AK24" s="88">
        <f t="shared" si="12"/>
        <v>3302.5</v>
      </c>
      <c r="AL24" s="88">
        <f t="shared" si="13"/>
        <v>4035.5</v>
      </c>
      <c r="AM24" s="89">
        <f t="shared" si="14"/>
        <v>5265.5</v>
      </c>
      <c r="AN24" s="168"/>
      <c r="AO24" s="105">
        <f t="shared" si="30"/>
        <v>264</v>
      </c>
      <c r="AP24" s="107">
        <f t="shared" si="15"/>
        <v>264</v>
      </c>
      <c r="AQ24" s="106">
        <f t="shared" si="16"/>
        <v>559</v>
      </c>
      <c r="AR24" s="79">
        <v>220</v>
      </c>
      <c r="AS24" s="79">
        <f>HLOOKUP($AH$15,$K$18:$W$52,31,FALSE)</f>
        <v>108</v>
      </c>
      <c r="AT24" s="97">
        <f t="shared" si="17"/>
        <v>75.5</v>
      </c>
      <c r="AU24" s="98">
        <f t="shared" si="18"/>
        <v>125.5</v>
      </c>
      <c r="AV24" s="98">
        <f t="shared" si="19"/>
        <v>180.5</v>
      </c>
      <c r="AW24" s="98">
        <f t="shared" si="20"/>
        <v>239.5</v>
      </c>
      <c r="AX24" s="98">
        <f t="shared" si="21"/>
        <v>370.5</v>
      </c>
      <c r="AY24" s="98">
        <f t="shared" si="22"/>
        <v>684.5</v>
      </c>
      <c r="AZ24" s="98">
        <f t="shared" si="23"/>
        <v>1068.5</v>
      </c>
      <c r="BA24" s="98">
        <f t="shared" si="24"/>
        <v>1521.5</v>
      </c>
      <c r="BB24" s="98">
        <f t="shared" si="25"/>
        <v>2045.5</v>
      </c>
      <c r="BC24" s="98">
        <f t="shared" si="26"/>
        <v>2638.5</v>
      </c>
      <c r="BD24" s="98">
        <f t="shared" si="27"/>
        <v>3302.5</v>
      </c>
      <c r="BE24" s="98">
        <f t="shared" si="28"/>
        <v>4035.5</v>
      </c>
      <c r="BF24" s="99">
        <f t="shared" si="29"/>
        <v>5265.5</v>
      </c>
    </row>
    <row r="25" spans="1:58" ht="28.5">
      <c r="A25" s="13" t="s">
        <v>26</v>
      </c>
      <c r="B25" s="3" t="s">
        <v>31</v>
      </c>
      <c r="C25" s="4"/>
      <c r="D25" s="10">
        <v>2000</v>
      </c>
      <c r="E25" s="8"/>
      <c r="G25" s="2"/>
      <c r="I25"/>
      <c r="J25" s="55">
        <v>95</v>
      </c>
      <c r="K25" s="56">
        <v>250</v>
      </c>
      <c r="L25" s="56">
        <v>298</v>
      </c>
      <c r="M25" s="56">
        <v>349</v>
      </c>
      <c r="N25" s="56">
        <v>405</v>
      </c>
      <c r="O25" s="56">
        <v>529</v>
      </c>
      <c r="P25" s="56">
        <v>827</v>
      </c>
      <c r="Q25" s="56">
        <v>1190</v>
      </c>
      <c r="R25" s="56">
        <v>1620</v>
      </c>
      <c r="S25" s="56">
        <v>2116</v>
      </c>
      <c r="T25" s="56">
        <v>2679</v>
      </c>
      <c r="U25" s="56">
        <v>3307</v>
      </c>
      <c r="V25" s="56">
        <v>4001</v>
      </c>
      <c r="W25" s="56">
        <v>5167</v>
      </c>
      <c r="X25" s="57">
        <v>95</v>
      </c>
      <c r="Y25" s="19">
        <v>210</v>
      </c>
      <c r="Z25" s="19">
        <f>HLOOKUP($AH$15,$K$18:$W$52,30,FALSE)</f>
        <v>113</v>
      </c>
      <c r="AA25" s="87">
        <f t="shared" si="2"/>
        <v>61.5</v>
      </c>
      <c r="AB25" s="88">
        <f t="shared" si="3"/>
        <v>109.5</v>
      </c>
      <c r="AC25" s="88">
        <f t="shared" si="4"/>
        <v>160.5</v>
      </c>
      <c r="AD25" s="88">
        <f t="shared" si="5"/>
        <v>216.5</v>
      </c>
      <c r="AE25" s="88">
        <f t="shared" si="6"/>
        <v>340.5</v>
      </c>
      <c r="AF25" s="88">
        <f t="shared" si="7"/>
        <v>638.5</v>
      </c>
      <c r="AG25" s="88">
        <f t="shared" si="8"/>
        <v>1001.5</v>
      </c>
      <c r="AH25" s="88">
        <f t="shared" si="9"/>
        <v>1431.5</v>
      </c>
      <c r="AI25" s="88">
        <f t="shared" si="10"/>
        <v>1927.5</v>
      </c>
      <c r="AJ25" s="88">
        <f t="shared" si="11"/>
        <v>2490.5</v>
      </c>
      <c r="AK25" s="88">
        <f t="shared" si="12"/>
        <v>3118.5</v>
      </c>
      <c r="AL25" s="88">
        <f t="shared" si="13"/>
        <v>3812.5</v>
      </c>
      <c r="AM25" s="89">
        <f t="shared" si="14"/>
        <v>4978.5</v>
      </c>
      <c r="AN25" s="168"/>
      <c r="AO25" s="105">
        <f t="shared" si="30"/>
        <v>250</v>
      </c>
      <c r="AP25" s="107">
        <f t="shared" si="15"/>
        <v>250</v>
      </c>
      <c r="AQ25" s="106">
        <f t="shared" si="16"/>
        <v>529</v>
      </c>
      <c r="AR25" s="79">
        <v>210</v>
      </c>
      <c r="AS25" s="79">
        <f>HLOOKUP($AH$15,$K$18:$W$52,30,FALSE)</f>
        <v>113</v>
      </c>
      <c r="AT25" s="97">
        <f t="shared" si="17"/>
        <v>61.5</v>
      </c>
      <c r="AU25" s="98">
        <f t="shared" si="18"/>
        <v>109.5</v>
      </c>
      <c r="AV25" s="98">
        <f t="shared" si="19"/>
        <v>160.5</v>
      </c>
      <c r="AW25" s="98">
        <f t="shared" si="20"/>
        <v>216.5</v>
      </c>
      <c r="AX25" s="98">
        <f t="shared" si="21"/>
        <v>340.5</v>
      </c>
      <c r="AY25" s="98">
        <f t="shared" si="22"/>
        <v>638.5</v>
      </c>
      <c r="AZ25" s="98">
        <f t="shared" si="23"/>
        <v>1001.5</v>
      </c>
      <c r="BA25" s="98">
        <f t="shared" si="24"/>
        <v>1431.5</v>
      </c>
      <c r="BB25" s="98">
        <f t="shared" si="25"/>
        <v>1927.5</v>
      </c>
      <c r="BC25" s="98">
        <f t="shared" si="26"/>
        <v>2490.5</v>
      </c>
      <c r="BD25" s="98">
        <f t="shared" si="27"/>
        <v>3118.5</v>
      </c>
      <c r="BE25" s="98">
        <f t="shared" si="28"/>
        <v>3812.5</v>
      </c>
      <c r="BF25" s="99">
        <f t="shared" si="29"/>
        <v>4978.5</v>
      </c>
    </row>
    <row r="26" spans="1:58" ht="28.5">
      <c r="A26" s="13" t="s">
        <v>26</v>
      </c>
      <c r="B26" s="3" t="s">
        <v>32</v>
      </c>
      <c r="C26" s="4"/>
      <c r="D26" s="10">
        <v>2050</v>
      </c>
      <c r="E26" s="8"/>
      <c r="G26" s="2"/>
      <c r="I26"/>
      <c r="J26" s="55">
        <v>100</v>
      </c>
      <c r="K26" s="56">
        <v>238</v>
      </c>
      <c r="L26" s="56">
        <v>283</v>
      </c>
      <c r="M26" s="56">
        <v>332</v>
      </c>
      <c r="N26" s="56">
        <v>385</v>
      </c>
      <c r="O26" s="56">
        <v>503</v>
      </c>
      <c r="P26" s="56">
        <v>785</v>
      </c>
      <c r="Q26" s="56">
        <v>1131</v>
      </c>
      <c r="R26" s="56">
        <v>1539</v>
      </c>
      <c r="S26" s="56">
        <v>2011</v>
      </c>
      <c r="T26" s="56">
        <v>2545</v>
      </c>
      <c r="U26" s="56">
        <v>3142</v>
      </c>
      <c r="V26" s="56">
        <v>3801</v>
      </c>
      <c r="W26" s="56">
        <v>4909</v>
      </c>
      <c r="X26" s="57">
        <v>100</v>
      </c>
      <c r="Y26" s="19">
        <v>200</v>
      </c>
      <c r="Z26" s="19">
        <f>HLOOKUP($AH$15,$K$18:$W$52,29,FALSE)</f>
        <v>119</v>
      </c>
      <c r="AA26" s="87">
        <f t="shared" si="2"/>
        <v>49.5</v>
      </c>
      <c r="AB26" s="88">
        <f t="shared" si="3"/>
        <v>94.5</v>
      </c>
      <c r="AC26" s="88">
        <f t="shared" si="4"/>
        <v>143.5</v>
      </c>
      <c r="AD26" s="88">
        <f t="shared" si="5"/>
        <v>196.5</v>
      </c>
      <c r="AE26" s="88">
        <f t="shared" si="6"/>
        <v>314.5</v>
      </c>
      <c r="AF26" s="88">
        <f t="shared" si="7"/>
        <v>596.5</v>
      </c>
      <c r="AG26" s="88">
        <f t="shared" si="8"/>
        <v>942.5</v>
      </c>
      <c r="AH26" s="88">
        <f t="shared" si="9"/>
        <v>1350.5</v>
      </c>
      <c r="AI26" s="88">
        <f t="shared" si="10"/>
        <v>1822.5</v>
      </c>
      <c r="AJ26" s="88">
        <f t="shared" si="11"/>
        <v>2356.5</v>
      </c>
      <c r="AK26" s="88">
        <f t="shared" si="12"/>
        <v>2953.5</v>
      </c>
      <c r="AL26" s="88">
        <f t="shared" si="13"/>
        <v>3612.5</v>
      </c>
      <c r="AM26" s="89">
        <f t="shared" si="14"/>
        <v>4720.5</v>
      </c>
      <c r="AN26" s="168"/>
      <c r="AO26" s="105">
        <f t="shared" si="30"/>
        <v>238</v>
      </c>
      <c r="AP26" s="107">
        <f t="shared" si="15"/>
        <v>238</v>
      </c>
      <c r="AQ26" s="106">
        <f t="shared" si="16"/>
        <v>503</v>
      </c>
      <c r="AR26" s="79">
        <v>200</v>
      </c>
      <c r="AS26" s="79">
        <f>HLOOKUP($AH$15,$K$18:$W$52,29,FALSE)</f>
        <v>119</v>
      </c>
      <c r="AT26" s="97">
        <f t="shared" si="17"/>
        <v>49.5</v>
      </c>
      <c r="AU26" s="98">
        <f t="shared" si="18"/>
        <v>94.5</v>
      </c>
      <c r="AV26" s="98">
        <f t="shared" si="19"/>
        <v>143.5</v>
      </c>
      <c r="AW26" s="98">
        <f t="shared" si="20"/>
        <v>196.5</v>
      </c>
      <c r="AX26" s="98">
        <f t="shared" si="21"/>
        <v>314.5</v>
      </c>
      <c r="AY26" s="98">
        <f t="shared" si="22"/>
        <v>596.5</v>
      </c>
      <c r="AZ26" s="98">
        <f t="shared" si="23"/>
        <v>942.5</v>
      </c>
      <c r="BA26" s="98">
        <f t="shared" si="24"/>
        <v>1350.5</v>
      </c>
      <c r="BB26" s="98">
        <f t="shared" si="25"/>
        <v>1822.5</v>
      </c>
      <c r="BC26" s="98">
        <f t="shared" si="26"/>
        <v>2356.5</v>
      </c>
      <c r="BD26" s="98">
        <f t="shared" si="27"/>
        <v>2953.5</v>
      </c>
      <c r="BE26" s="98">
        <f t="shared" si="28"/>
        <v>3612.5</v>
      </c>
      <c r="BF26" s="99">
        <f t="shared" si="29"/>
        <v>4720.5</v>
      </c>
    </row>
    <row r="27" spans="1:58" ht="28.5">
      <c r="A27" s="13" t="s">
        <v>26</v>
      </c>
      <c r="B27" s="3" t="s">
        <v>33</v>
      </c>
      <c r="C27" s="4"/>
      <c r="D27" s="10">
        <v>800</v>
      </c>
      <c r="E27" s="8"/>
      <c r="G27" s="2"/>
      <c r="I27"/>
      <c r="J27" s="55">
        <v>105</v>
      </c>
      <c r="K27" s="56">
        <v>226</v>
      </c>
      <c r="L27" s="56">
        <v>269</v>
      </c>
      <c r="M27" s="56">
        <v>316</v>
      </c>
      <c r="N27" s="56">
        <v>367</v>
      </c>
      <c r="O27" s="56">
        <v>479</v>
      </c>
      <c r="P27" s="56">
        <v>748</v>
      </c>
      <c r="Q27" s="56">
        <v>1077</v>
      </c>
      <c r="R27" s="56">
        <v>1466</v>
      </c>
      <c r="S27" s="56">
        <v>1915</v>
      </c>
      <c r="T27" s="56">
        <v>2424</v>
      </c>
      <c r="U27" s="56">
        <v>2992</v>
      </c>
      <c r="V27" s="56">
        <v>3620</v>
      </c>
      <c r="W27" s="56">
        <v>4675</v>
      </c>
      <c r="X27" s="57">
        <v>105</v>
      </c>
      <c r="Y27" s="19">
        <v>195</v>
      </c>
      <c r="Z27" s="19">
        <f>HLOOKUP($AH$15,$K$18:$W$52,28,FALSE)</f>
        <v>122</v>
      </c>
      <c r="AA27" s="87">
        <f t="shared" si="2"/>
        <v>37.5</v>
      </c>
      <c r="AB27" s="88">
        <f t="shared" si="3"/>
        <v>80.5</v>
      </c>
      <c r="AC27" s="88">
        <f t="shared" si="4"/>
        <v>127.5</v>
      </c>
      <c r="AD27" s="88">
        <f t="shared" si="5"/>
        <v>178.5</v>
      </c>
      <c r="AE27" s="88">
        <f t="shared" si="6"/>
        <v>290.5</v>
      </c>
      <c r="AF27" s="88">
        <f t="shared" si="7"/>
        <v>559.5</v>
      </c>
      <c r="AG27" s="88">
        <f t="shared" si="8"/>
        <v>888.5</v>
      </c>
      <c r="AH27" s="88">
        <f t="shared" si="9"/>
        <v>1277.5</v>
      </c>
      <c r="AI27" s="88">
        <f t="shared" si="10"/>
        <v>1726.5</v>
      </c>
      <c r="AJ27" s="88">
        <f t="shared" si="11"/>
        <v>2235.5</v>
      </c>
      <c r="AK27" s="88">
        <f t="shared" si="12"/>
        <v>2803.5</v>
      </c>
      <c r="AL27" s="88">
        <f t="shared" si="13"/>
        <v>3431.5</v>
      </c>
      <c r="AM27" s="89">
        <f t="shared" si="14"/>
        <v>4486.5</v>
      </c>
      <c r="AN27" s="168"/>
      <c r="AO27" s="105">
        <f t="shared" si="30"/>
        <v>226</v>
      </c>
      <c r="AP27" s="107">
        <f t="shared" si="15"/>
        <v>226</v>
      </c>
      <c r="AQ27" s="106">
        <f t="shared" si="16"/>
        <v>479</v>
      </c>
      <c r="AR27" s="79">
        <v>195</v>
      </c>
      <c r="AS27" s="79">
        <f>HLOOKUP($AH$15,$K$18:$W$52,28,FALSE)</f>
        <v>122</v>
      </c>
      <c r="AT27" s="97">
        <f t="shared" si="17"/>
        <v>37.5</v>
      </c>
      <c r="AU27" s="98">
        <f t="shared" si="18"/>
        <v>80.5</v>
      </c>
      <c r="AV27" s="98">
        <f t="shared" si="19"/>
        <v>127.5</v>
      </c>
      <c r="AW27" s="98">
        <f t="shared" si="20"/>
        <v>178.5</v>
      </c>
      <c r="AX27" s="98">
        <f t="shared" si="21"/>
        <v>290.5</v>
      </c>
      <c r="AY27" s="98">
        <f t="shared" si="22"/>
        <v>559.5</v>
      </c>
      <c r="AZ27" s="98">
        <f t="shared" si="23"/>
        <v>888.5</v>
      </c>
      <c r="BA27" s="98">
        <f t="shared" si="24"/>
        <v>1277.5</v>
      </c>
      <c r="BB27" s="98">
        <f t="shared" si="25"/>
        <v>1726.5</v>
      </c>
      <c r="BC27" s="98">
        <f t="shared" si="26"/>
        <v>2235.5</v>
      </c>
      <c r="BD27" s="98">
        <f t="shared" si="27"/>
        <v>2803.5</v>
      </c>
      <c r="BE27" s="98">
        <f t="shared" si="28"/>
        <v>3431.5</v>
      </c>
      <c r="BF27" s="99">
        <f t="shared" si="29"/>
        <v>4486.5</v>
      </c>
    </row>
    <row r="28" spans="1:58" ht="18">
      <c r="A28" s="13" t="s">
        <v>34</v>
      </c>
      <c r="B28" s="3" t="s">
        <v>35</v>
      </c>
      <c r="C28" s="4"/>
      <c r="D28" s="10">
        <v>1800</v>
      </c>
      <c r="E28" s="8"/>
      <c r="G28" s="2"/>
      <c r="I28"/>
      <c r="J28" s="55">
        <v>110</v>
      </c>
      <c r="K28" s="56">
        <v>216</v>
      </c>
      <c r="L28" s="56">
        <v>257</v>
      </c>
      <c r="M28" s="56">
        <v>302</v>
      </c>
      <c r="N28" s="56">
        <v>350</v>
      </c>
      <c r="O28" s="56">
        <v>457</v>
      </c>
      <c r="P28" s="56">
        <v>714</v>
      </c>
      <c r="Q28" s="56">
        <v>1028</v>
      </c>
      <c r="R28" s="56">
        <v>1399</v>
      </c>
      <c r="S28" s="56">
        <v>1828</v>
      </c>
      <c r="T28" s="56">
        <v>2313</v>
      </c>
      <c r="U28" s="56">
        <v>2856</v>
      </c>
      <c r="V28" s="56">
        <v>3456</v>
      </c>
      <c r="W28" s="56">
        <v>4462</v>
      </c>
      <c r="X28" s="57">
        <v>110</v>
      </c>
      <c r="Y28" s="19">
        <v>190</v>
      </c>
      <c r="Z28" s="19">
        <f>HLOOKUP($AH$15,$K$18:$W$52,27,FALSE)</f>
        <v>125</v>
      </c>
      <c r="AA28" s="87">
        <f t="shared" si="2"/>
        <v>27.5</v>
      </c>
      <c r="AB28" s="88">
        <f t="shared" si="3"/>
        <v>68.5</v>
      </c>
      <c r="AC28" s="88">
        <f t="shared" si="4"/>
        <v>113.5</v>
      </c>
      <c r="AD28" s="88">
        <f t="shared" si="5"/>
        <v>161.5</v>
      </c>
      <c r="AE28" s="88">
        <f t="shared" si="6"/>
        <v>268.5</v>
      </c>
      <c r="AF28" s="88">
        <f t="shared" si="7"/>
        <v>525.5</v>
      </c>
      <c r="AG28" s="88">
        <f t="shared" si="8"/>
        <v>839.5</v>
      </c>
      <c r="AH28" s="88">
        <f t="shared" si="9"/>
        <v>1210.5</v>
      </c>
      <c r="AI28" s="88">
        <f t="shared" si="10"/>
        <v>1639.5</v>
      </c>
      <c r="AJ28" s="88">
        <f t="shared" si="11"/>
        <v>2124.5</v>
      </c>
      <c r="AK28" s="88">
        <f t="shared" si="12"/>
        <v>2667.5</v>
      </c>
      <c r="AL28" s="88">
        <f t="shared" si="13"/>
        <v>3267.5</v>
      </c>
      <c r="AM28" s="89">
        <f t="shared" si="14"/>
        <v>4273.5</v>
      </c>
      <c r="AN28" s="168"/>
      <c r="AO28" s="105">
        <f t="shared" si="30"/>
        <v>216</v>
      </c>
      <c r="AP28" s="107">
        <f t="shared" si="15"/>
        <v>216</v>
      </c>
      <c r="AQ28" s="106">
        <f t="shared" si="16"/>
        <v>457</v>
      </c>
      <c r="AR28" s="79">
        <v>190</v>
      </c>
      <c r="AS28" s="79">
        <f>HLOOKUP($AH$15,$K$18:$W$52,27,FALSE)</f>
        <v>125</v>
      </c>
      <c r="AT28" s="97">
        <f t="shared" si="17"/>
        <v>27.5</v>
      </c>
      <c r="AU28" s="98">
        <f t="shared" si="18"/>
        <v>68.5</v>
      </c>
      <c r="AV28" s="98">
        <f t="shared" si="19"/>
        <v>113.5</v>
      </c>
      <c r="AW28" s="98">
        <f t="shared" si="20"/>
        <v>161.5</v>
      </c>
      <c r="AX28" s="98">
        <f t="shared" si="21"/>
        <v>268.5</v>
      </c>
      <c r="AY28" s="98">
        <f t="shared" si="22"/>
        <v>525.5</v>
      </c>
      <c r="AZ28" s="98">
        <f t="shared" si="23"/>
        <v>839.5</v>
      </c>
      <c r="BA28" s="98">
        <f t="shared" si="24"/>
        <v>1210.5</v>
      </c>
      <c r="BB28" s="98">
        <f t="shared" si="25"/>
        <v>1639.5</v>
      </c>
      <c r="BC28" s="98">
        <f t="shared" si="26"/>
        <v>2124.5</v>
      </c>
      <c r="BD28" s="98">
        <f t="shared" si="27"/>
        <v>2667.5</v>
      </c>
      <c r="BE28" s="98">
        <f t="shared" si="28"/>
        <v>3267.5</v>
      </c>
      <c r="BF28" s="99">
        <f t="shared" si="29"/>
        <v>4273.5</v>
      </c>
    </row>
    <row r="29" spans="1:58" ht="18">
      <c r="A29" s="13" t="s">
        <v>34</v>
      </c>
      <c r="B29" s="3" t="s">
        <v>36</v>
      </c>
      <c r="C29" s="4" t="s">
        <v>37</v>
      </c>
      <c r="D29" s="10">
        <v>1100</v>
      </c>
      <c r="E29" s="8"/>
      <c r="G29" s="2"/>
      <c r="I29"/>
      <c r="J29" s="55">
        <v>115</v>
      </c>
      <c r="K29" s="56">
        <v>207</v>
      </c>
      <c r="L29" s="56">
        <v>246</v>
      </c>
      <c r="M29" s="56">
        <v>289</v>
      </c>
      <c r="N29" s="56">
        <v>335</v>
      </c>
      <c r="O29" s="56">
        <v>437</v>
      </c>
      <c r="P29" s="56">
        <v>683</v>
      </c>
      <c r="Q29" s="56">
        <v>983</v>
      </c>
      <c r="R29" s="56">
        <v>1339</v>
      </c>
      <c r="S29" s="56">
        <v>1748</v>
      </c>
      <c r="T29" s="56">
        <v>2213</v>
      </c>
      <c r="U29" s="56">
        <v>2732</v>
      </c>
      <c r="V29" s="56">
        <v>3306</v>
      </c>
      <c r="W29" s="56">
        <v>4268</v>
      </c>
      <c r="X29" s="57">
        <v>115</v>
      </c>
      <c r="Y29" s="19">
        <v>185</v>
      </c>
      <c r="Z29" s="19">
        <f>HLOOKUP($AH$15,$K$18:$W$52,26,FALSE)</f>
        <v>128</v>
      </c>
      <c r="AA29" s="87">
        <f t="shared" si="2"/>
        <v>18.5</v>
      </c>
      <c r="AB29" s="88">
        <f t="shared" si="3"/>
        <v>57.5</v>
      </c>
      <c r="AC29" s="88">
        <f t="shared" si="4"/>
        <v>100.5</v>
      </c>
      <c r="AD29" s="88">
        <f t="shared" si="5"/>
        <v>146.5</v>
      </c>
      <c r="AE29" s="88">
        <f t="shared" si="6"/>
        <v>248.5</v>
      </c>
      <c r="AF29" s="88">
        <f t="shared" si="7"/>
        <v>494.5</v>
      </c>
      <c r="AG29" s="88">
        <f t="shared" si="8"/>
        <v>794.5</v>
      </c>
      <c r="AH29" s="88">
        <f t="shared" si="9"/>
        <v>1150.5</v>
      </c>
      <c r="AI29" s="88">
        <f t="shared" si="10"/>
        <v>1559.5</v>
      </c>
      <c r="AJ29" s="88">
        <f t="shared" si="11"/>
        <v>2024.5</v>
      </c>
      <c r="AK29" s="88">
        <f t="shared" si="12"/>
        <v>2543.5</v>
      </c>
      <c r="AL29" s="88">
        <f t="shared" si="13"/>
        <v>3117.5</v>
      </c>
      <c r="AM29" s="89">
        <f t="shared" si="14"/>
        <v>4079.5</v>
      </c>
      <c r="AN29" s="168"/>
      <c r="AO29" s="105">
        <f t="shared" si="30"/>
        <v>207</v>
      </c>
      <c r="AP29" s="107">
        <f t="shared" si="15"/>
        <v>207</v>
      </c>
      <c r="AQ29" s="106">
        <f t="shared" si="16"/>
        <v>437</v>
      </c>
      <c r="AR29" s="79">
        <v>185</v>
      </c>
      <c r="AS29" s="79">
        <f>HLOOKUP($AH$15,$K$18:$W$52,26,FALSE)</f>
        <v>128</v>
      </c>
      <c r="AT29" s="97">
        <f t="shared" si="17"/>
        <v>18.5</v>
      </c>
      <c r="AU29" s="98">
        <f t="shared" si="18"/>
        <v>57.5</v>
      </c>
      <c r="AV29" s="98">
        <f t="shared" si="19"/>
        <v>100.5</v>
      </c>
      <c r="AW29" s="98">
        <f t="shared" si="20"/>
        <v>146.5</v>
      </c>
      <c r="AX29" s="98">
        <f t="shared" si="21"/>
        <v>248.5</v>
      </c>
      <c r="AY29" s="98">
        <f t="shared" si="22"/>
        <v>494.5</v>
      </c>
      <c r="AZ29" s="98">
        <f t="shared" si="23"/>
        <v>794.5</v>
      </c>
      <c r="BA29" s="98">
        <f t="shared" si="24"/>
        <v>1150.5</v>
      </c>
      <c r="BB29" s="98">
        <f t="shared" si="25"/>
        <v>1559.5</v>
      </c>
      <c r="BC29" s="98">
        <f t="shared" si="26"/>
        <v>2024.5</v>
      </c>
      <c r="BD29" s="98">
        <f t="shared" si="27"/>
        <v>2543.5</v>
      </c>
      <c r="BE29" s="98">
        <f t="shared" si="28"/>
        <v>3117.5</v>
      </c>
      <c r="BF29" s="99">
        <f t="shared" si="29"/>
        <v>4079.5</v>
      </c>
    </row>
    <row r="30" spans="1:58" ht="18">
      <c r="A30" s="13" t="s">
        <v>34</v>
      </c>
      <c r="B30" s="3" t="s">
        <v>38</v>
      </c>
      <c r="C30" s="4"/>
      <c r="D30" s="10">
        <v>2000</v>
      </c>
      <c r="E30" s="8"/>
      <c r="G30" s="2"/>
      <c r="I30"/>
      <c r="J30" s="55">
        <v>120</v>
      </c>
      <c r="K30" s="56">
        <v>198</v>
      </c>
      <c r="L30" s="56">
        <v>236</v>
      </c>
      <c r="M30" s="56">
        <v>277</v>
      </c>
      <c r="N30" s="56">
        <v>321</v>
      </c>
      <c r="O30" s="56">
        <v>419</v>
      </c>
      <c r="P30" s="56">
        <v>654</v>
      </c>
      <c r="Q30" s="56">
        <v>942</v>
      </c>
      <c r="R30" s="56">
        <v>1283</v>
      </c>
      <c r="S30" s="56">
        <v>1676</v>
      </c>
      <c r="T30" s="56">
        <v>2121</v>
      </c>
      <c r="U30" s="56">
        <v>2618</v>
      </c>
      <c r="V30" s="56">
        <v>3168</v>
      </c>
      <c r="W30" s="56">
        <v>4091</v>
      </c>
      <c r="X30" s="57">
        <v>120</v>
      </c>
      <c r="Y30" s="19">
        <v>180</v>
      </c>
      <c r="Z30" s="19">
        <f>HLOOKUP($AH$15,$K$18:$W$52,25,FALSE)</f>
        <v>132</v>
      </c>
      <c r="AA30" s="87">
        <f t="shared" si="2"/>
        <v>9.5</v>
      </c>
      <c r="AB30" s="88">
        <f t="shared" si="3"/>
        <v>47.5</v>
      </c>
      <c r="AC30" s="88">
        <f t="shared" si="4"/>
        <v>88.5</v>
      </c>
      <c r="AD30" s="88">
        <f t="shared" si="5"/>
        <v>132.5</v>
      </c>
      <c r="AE30" s="88">
        <f t="shared" si="6"/>
        <v>230.5</v>
      </c>
      <c r="AF30" s="88">
        <f t="shared" si="7"/>
        <v>465.5</v>
      </c>
      <c r="AG30" s="88">
        <f t="shared" si="8"/>
        <v>753.5</v>
      </c>
      <c r="AH30" s="88">
        <f t="shared" si="9"/>
        <v>1094.5</v>
      </c>
      <c r="AI30" s="88">
        <f t="shared" si="10"/>
        <v>1487.5</v>
      </c>
      <c r="AJ30" s="88">
        <f t="shared" si="11"/>
        <v>1932.5</v>
      </c>
      <c r="AK30" s="88">
        <f t="shared" si="12"/>
        <v>2429.5</v>
      </c>
      <c r="AL30" s="88">
        <f t="shared" si="13"/>
        <v>2979.5</v>
      </c>
      <c r="AM30" s="89">
        <f t="shared" si="14"/>
        <v>3902.5</v>
      </c>
      <c r="AN30" s="168"/>
      <c r="AO30" s="105">
        <f t="shared" si="30"/>
        <v>198</v>
      </c>
      <c r="AP30" s="107">
        <f t="shared" si="15"/>
        <v>198</v>
      </c>
      <c r="AQ30" s="106">
        <f t="shared" si="16"/>
        <v>419</v>
      </c>
      <c r="AR30" s="79">
        <v>180</v>
      </c>
      <c r="AS30" s="79">
        <f>HLOOKUP($AH$15,$K$18:$W$52,25,FALSE)</f>
        <v>132</v>
      </c>
      <c r="AT30" s="97">
        <f t="shared" si="17"/>
        <v>9.5</v>
      </c>
      <c r="AU30" s="98">
        <f t="shared" si="18"/>
        <v>47.5</v>
      </c>
      <c r="AV30" s="98">
        <f t="shared" si="19"/>
        <v>88.5</v>
      </c>
      <c r="AW30" s="98">
        <f t="shared" si="20"/>
        <v>132.5</v>
      </c>
      <c r="AX30" s="98">
        <f t="shared" si="21"/>
        <v>230.5</v>
      </c>
      <c r="AY30" s="98">
        <f t="shared" si="22"/>
        <v>465.5</v>
      </c>
      <c r="AZ30" s="98">
        <f t="shared" si="23"/>
        <v>753.5</v>
      </c>
      <c r="BA30" s="98">
        <f t="shared" si="24"/>
        <v>1094.5</v>
      </c>
      <c r="BB30" s="98">
        <f t="shared" si="25"/>
        <v>1487.5</v>
      </c>
      <c r="BC30" s="98">
        <f t="shared" si="26"/>
        <v>1932.5</v>
      </c>
      <c r="BD30" s="98">
        <f t="shared" si="27"/>
        <v>2429.5</v>
      </c>
      <c r="BE30" s="98">
        <f t="shared" si="28"/>
        <v>2979.5</v>
      </c>
      <c r="BF30" s="99">
        <f t="shared" si="29"/>
        <v>3902.5</v>
      </c>
    </row>
    <row r="31" spans="1:58" ht="18">
      <c r="A31" s="13" t="s">
        <v>34</v>
      </c>
      <c r="B31" s="3" t="s">
        <v>39</v>
      </c>
      <c r="C31" s="4" t="s">
        <v>40</v>
      </c>
      <c r="D31" s="10">
        <v>600</v>
      </c>
      <c r="E31" s="8"/>
      <c r="G31" s="2"/>
      <c r="I31"/>
      <c r="J31" s="55">
        <v>125</v>
      </c>
      <c r="K31" s="56">
        <v>190</v>
      </c>
      <c r="L31" s="56">
        <v>226</v>
      </c>
      <c r="M31" s="56">
        <v>265</v>
      </c>
      <c r="N31" s="56">
        <v>308</v>
      </c>
      <c r="O31" s="56">
        <v>402</v>
      </c>
      <c r="P31" s="56">
        <v>628</v>
      </c>
      <c r="Q31" s="56">
        <v>905</v>
      </c>
      <c r="R31" s="56">
        <v>1232</v>
      </c>
      <c r="S31" s="56">
        <v>1608</v>
      </c>
      <c r="T31" s="56">
        <v>2036</v>
      </c>
      <c r="U31" s="56">
        <v>2513</v>
      </c>
      <c r="V31" s="56">
        <v>3041</v>
      </c>
      <c r="W31" s="56">
        <v>3927</v>
      </c>
      <c r="X31" s="57">
        <v>125</v>
      </c>
      <c r="Y31" s="19">
        <v>175</v>
      </c>
      <c r="Z31" s="19">
        <f>HLOOKUP($AH$15,$K$18:$W$52,24,FALSE)</f>
        <v>136</v>
      </c>
      <c r="AA31" s="87">
        <f t="shared" si="2"/>
        <v>1.5</v>
      </c>
      <c r="AB31" s="88">
        <f t="shared" si="3"/>
        <v>37.5</v>
      </c>
      <c r="AC31" s="88">
        <f t="shared" si="4"/>
        <v>76.5</v>
      </c>
      <c r="AD31" s="88">
        <f t="shared" si="5"/>
        <v>119.5</v>
      </c>
      <c r="AE31" s="88">
        <f t="shared" si="6"/>
        <v>213.5</v>
      </c>
      <c r="AF31" s="88">
        <f t="shared" si="7"/>
        <v>439.5</v>
      </c>
      <c r="AG31" s="88">
        <f t="shared" si="8"/>
        <v>716.5</v>
      </c>
      <c r="AH31" s="88">
        <f t="shared" si="9"/>
        <v>1043.5</v>
      </c>
      <c r="AI31" s="88">
        <f t="shared" si="10"/>
        <v>1419.5</v>
      </c>
      <c r="AJ31" s="88">
        <f t="shared" si="11"/>
        <v>1847.5</v>
      </c>
      <c r="AK31" s="88">
        <f t="shared" si="12"/>
        <v>2324.5</v>
      </c>
      <c r="AL31" s="88">
        <f t="shared" si="13"/>
        <v>2852.5</v>
      </c>
      <c r="AM31" s="89">
        <f t="shared" si="14"/>
        <v>3738.5</v>
      </c>
      <c r="AN31" s="168"/>
      <c r="AO31" s="105">
        <f t="shared" si="30"/>
        <v>190</v>
      </c>
      <c r="AP31" s="107">
        <f t="shared" si="15"/>
        <v>190</v>
      </c>
      <c r="AQ31" s="106">
        <f t="shared" si="16"/>
        <v>402</v>
      </c>
      <c r="AR31" s="79">
        <v>175</v>
      </c>
      <c r="AS31" s="79">
        <f>HLOOKUP($AH$15,$K$18:$W$52,24,FALSE)</f>
        <v>136</v>
      </c>
      <c r="AT31" s="97">
        <f t="shared" si="17"/>
        <v>1.5</v>
      </c>
      <c r="AU31" s="98">
        <f t="shared" si="18"/>
        <v>37.5</v>
      </c>
      <c r="AV31" s="98">
        <f t="shared" si="19"/>
        <v>76.5</v>
      </c>
      <c r="AW31" s="98">
        <f t="shared" si="20"/>
        <v>119.5</v>
      </c>
      <c r="AX31" s="98">
        <f t="shared" si="21"/>
        <v>213.5</v>
      </c>
      <c r="AY31" s="98">
        <f t="shared" si="22"/>
        <v>439.5</v>
      </c>
      <c r="AZ31" s="98">
        <f t="shared" si="23"/>
        <v>716.5</v>
      </c>
      <c r="BA31" s="98">
        <f t="shared" si="24"/>
        <v>1043.5</v>
      </c>
      <c r="BB31" s="98">
        <f t="shared" si="25"/>
        <v>1419.5</v>
      </c>
      <c r="BC31" s="98">
        <f t="shared" si="26"/>
        <v>1847.5</v>
      </c>
      <c r="BD31" s="98">
        <f t="shared" si="27"/>
        <v>2324.5</v>
      </c>
      <c r="BE31" s="98">
        <f t="shared" si="28"/>
        <v>2852.5</v>
      </c>
      <c r="BF31" s="99">
        <f t="shared" si="29"/>
        <v>3738.5</v>
      </c>
    </row>
    <row r="32" spans="1:58" ht="18">
      <c r="A32" s="13" t="s">
        <v>34</v>
      </c>
      <c r="B32" s="3" t="s">
        <v>39</v>
      </c>
      <c r="C32" s="4" t="s">
        <v>41</v>
      </c>
      <c r="D32" s="10">
        <v>850</v>
      </c>
      <c r="E32" s="8"/>
      <c r="G32" s="2"/>
      <c r="I32"/>
      <c r="J32" s="55">
        <v>130</v>
      </c>
      <c r="K32" s="56">
        <v>183</v>
      </c>
      <c r="L32" s="56">
        <v>217</v>
      </c>
      <c r="M32" s="56">
        <v>255</v>
      </c>
      <c r="N32" s="56">
        <v>296</v>
      </c>
      <c r="O32" s="56">
        <v>387</v>
      </c>
      <c r="P32" s="56">
        <v>604</v>
      </c>
      <c r="Q32" s="56">
        <v>870</v>
      </c>
      <c r="R32" s="56">
        <v>1184</v>
      </c>
      <c r="S32" s="56">
        <v>1547</v>
      </c>
      <c r="T32" s="56">
        <v>1957</v>
      </c>
      <c r="U32" s="56">
        <v>2417</v>
      </c>
      <c r="V32" s="56">
        <v>2924</v>
      </c>
      <c r="W32" s="56">
        <v>3776</v>
      </c>
      <c r="X32" s="57">
        <v>130</v>
      </c>
      <c r="Y32" s="19">
        <v>170</v>
      </c>
      <c r="Z32" s="19">
        <f>HLOOKUP($AH$15,$K$18:$W$52,23,FALSE)</f>
        <v>140</v>
      </c>
      <c r="AA32" s="87" t="str">
        <f t="shared" si="2"/>
        <v> </v>
      </c>
      <c r="AB32" s="88">
        <f t="shared" si="3"/>
        <v>28.5</v>
      </c>
      <c r="AC32" s="88">
        <f t="shared" si="4"/>
        <v>66.5</v>
      </c>
      <c r="AD32" s="88">
        <f t="shared" si="5"/>
        <v>107.5</v>
      </c>
      <c r="AE32" s="88">
        <f t="shared" si="6"/>
        <v>198.5</v>
      </c>
      <c r="AF32" s="88">
        <f t="shared" si="7"/>
        <v>415.5</v>
      </c>
      <c r="AG32" s="88">
        <f t="shared" si="8"/>
        <v>681.5</v>
      </c>
      <c r="AH32" s="88">
        <f t="shared" si="9"/>
        <v>995.5</v>
      </c>
      <c r="AI32" s="88">
        <f t="shared" si="10"/>
        <v>1358.5</v>
      </c>
      <c r="AJ32" s="88">
        <f t="shared" si="11"/>
        <v>1768.5</v>
      </c>
      <c r="AK32" s="88">
        <f t="shared" si="12"/>
        <v>2228.5</v>
      </c>
      <c r="AL32" s="88">
        <f t="shared" si="13"/>
        <v>2735.5</v>
      </c>
      <c r="AM32" s="89">
        <f t="shared" si="14"/>
        <v>3587.5</v>
      </c>
      <c r="AN32" s="168"/>
      <c r="AO32" s="105">
        <f t="shared" si="30"/>
        <v>183</v>
      </c>
      <c r="AP32" s="107">
        <f t="shared" si="15"/>
        <v>183</v>
      </c>
      <c r="AQ32" s="106">
        <f t="shared" si="16"/>
        <v>387</v>
      </c>
      <c r="AR32" s="79">
        <v>170</v>
      </c>
      <c r="AS32" s="79">
        <f>HLOOKUP($AH$15,$K$18:$W$52,23,FALSE)</f>
        <v>140</v>
      </c>
      <c r="AT32" s="97" t="str">
        <f t="shared" si="17"/>
        <v> </v>
      </c>
      <c r="AU32" s="98">
        <f t="shared" si="18"/>
        <v>28.5</v>
      </c>
      <c r="AV32" s="98">
        <f t="shared" si="19"/>
        <v>66.5</v>
      </c>
      <c r="AW32" s="98">
        <f t="shared" si="20"/>
        <v>107.5</v>
      </c>
      <c r="AX32" s="98">
        <f t="shared" si="21"/>
        <v>198.5</v>
      </c>
      <c r="AY32" s="98">
        <f t="shared" si="22"/>
        <v>415.5</v>
      </c>
      <c r="AZ32" s="98">
        <f t="shared" si="23"/>
        <v>681.5</v>
      </c>
      <c r="BA32" s="98">
        <f t="shared" si="24"/>
        <v>995.5</v>
      </c>
      <c r="BB32" s="98">
        <f t="shared" si="25"/>
        <v>1358.5</v>
      </c>
      <c r="BC32" s="98">
        <f t="shared" si="26"/>
        <v>1768.5</v>
      </c>
      <c r="BD32" s="98">
        <f t="shared" si="27"/>
        <v>2228.5</v>
      </c>
      <c r="BE32" s="98">
        <f t="shared" si="28"/>
        <v>2735.5</v>
      </c>
      <c r="BF32" s="99">
        <f t="shared" si="29"/>
        <v>3587.5</v>
      </c>
    </row>
    <row r="33" spans="1:58" ht="18">
      <c r="A33" s="13" t="s">
        <v>34</v>
      </c>
      <c r="B33" s="3" t="s">
        <v>39</v>
      </c>
      <c r="C33" s="4" t="s">
        <v>42</v>
      </c>
      <c r="D33" s="10">
        <v>1300</v>
      </c>
      <c r="E33" s="8"/>
      <c r="G33" s="2"/>
      <c r="I33"/>
      <c r="J33" s="55">
        <v>135</v>
      </c>
      <c r="K33" s="56">
        <v>176</v>
      </c>
      <c r="L33" s="56">
        <v>209</v>
      </c>
      <c r="M33" s="56">
        <v>246</v>
      </c>
      <c r="N33" s="56">
        <v>285</v>
      </c>
      <c r="O33" s="56">
        <v>372</v>
      </c>
      <c r="P33" s="56">
        <v>582</v>
      </c>
      <c r="Q33" s="56">
        <v>838</v>
      </c>
      <c r="R33" s="56">
        <v>1140</v>
      </c>
      <c r="S33" s="56">
        <v>1489</v>
      </c>
      <c r="T33" s="56">
        <v>1885</v>
      </c>
      <c r="U33" s="56">
        <v>2327</v>
      </c>
      <c r="V33" s="56">
        <v>2816</v>
      </c>
      <c r="W33" s="56">
        <v>3636</v>
      </c>
      <c r="X33" s="57">
        <v>135</v>
      </c>
      <c r="Y33" s="19">
        <v>165</v>
      </c>
      <c r="Z33" s="19">
        <f>HLOOKUP($AH$15,$K$18:$W$52,22,FALSE)</f>
        <v>144</v>
      </c>
      <c r="AA33" s="87" t="str">
        <f t="shared" si="2"/>
        <v> </v>
      </c>
      <c r="AB33" s="88">
        <f t="shared" si="3"/>
        <v>20.5</v>
      </c>
      <c r="AC33" s="88">
        <f t="shared" si="4"/>
        <v>57.5</v>
      </c>
      <c r="AD33" s="88">
        <f t="shared" si="5"/>
        <v>96.5</v>
      </c>
      <c r="AE33" s="88">
        <f t="shared" si="6"/>
        <v>183.5</v>
      </c>
      <c r="AF33" s="88">
        <f t="shared" si="7"/>
        <v>393.5</v>
      </c>
      <c r="AG33" s="88">
        <f t="shared" si="8"/>
        <v>649.5</v>
      </c>
      <c r="AH33" s="88">
        <f t="shared" si="9"/>
        <v>951.5</v>
      </c>
      <c r="AI33" s="88">
        <f t="shared" si="10"/>
        <v>1300.5</v>
      </c>
      <c r="AJ33" s="88">
        <f t="shared" si="11"/>
        <v>1696.5</v>
      </c>
      <c r="AK33" s="88">
        <f t="shared" si="12"/>
        <v>2138.5</v>
      </c>
      <c r="AL33" s="88">
        <f t="shared" si="13"/>
        <v>2627.5</v>
      </c>
      <c r="AM33" s="89">
        <f t="shared" si="14"/>
        <v>3447.5</v>
      </c>
      <c r="AN33" s="168"/>
      <c r="AO33" s="105">
        <f t="shared" si="30"/>
        <v>176</v>
      </c>
      <c r="AP33" s="107">
        <f t="shared" si="15"/>
        <v>176</v>
      </c>
      <c r="AQ33" s="106">
        <f t="shared" si="16"/>
        <v>372</v>
      </c>
      <c r="AR33" s="79">
        <v>165</v>
      </c>
      <c r="AS33" s="79">
        <f>HLOOKUP($AH$15,$K$18:$W$52,22,FALSE)</f>
        <v>144</v>
      </c>
      <c r="AT33" s="97" t="str">
        <f t="shared" si="17"/>
        <v> </v>
      </c>
      <c r="AU33" s="98">
        <f t="shared" si="18"/>
        <v>20.5</v>
      </c>
      <c r="AV33" s="98">
        <f t="shared" si="19"/>
        <v>57.5</v>
      </c>
      <c r="AW33" s="98">
        <f t="shared" si="20"/>
        <v>96.5</v>
      </c>
      <c r="AX33" s="98">
        <f t="shared" si="21"/>
        <v>183.5</v>
      </c>
      <c r="AY33" s="98">
        <f t="shared" si="22"/>
        <v>393.5</v>
      </c>
      <c r="AZ33" s="98">
        <f t="shared" si="23"/>
        <v>649.5</v>
      </c>
      <c r="BA33" s="98">
        <f t="shared" si="24"/>
        <v>951.5</v>
      </c>
      <c r="BB33" s="98">
        <f t="shared" si="25"/>
        <v>1300.5</v>
      </c>
      <c r="BC33" s="98">
        <f t="shared" si="26"/>
        <v>1696.5</v>
      </c>
      <c r="BD33" s="98">
        <f t="shared" si="27"/>
        <v>2138.5</v>
      </c>
      <c r="BE33" s="98">
        <f t="shared" si="28"/>
        <v>2627.5</v>
      </c>
      <c r="BF33" s="99">
        <f t="shared" si="29"/>
        <v>3447.5</v>
      </c>
    </row>
    <row r="34" spans="1:58" ht="18">
      <c r="A34" s="13" t="s">
        <v>34</v>
      </c>
      <c r="B34" s="3" t="s">
        <v>39</v>
      </c>
      <c r="C34" s="4" t="s">
        <v>43</v>
      </c>
      <c r="D34" s="10">
        <v>2600</v>
      </c>
      <c r="E34" s="8"/>
      <c r="G34" s="2"/>
      <c r="I34"/>
      <c r="J34" s="55">
        <v>140</v>
      </c>
      <c r="K34" s="56">
        <v>170</v>
      </c>
      <c r="L34" s="56">
        <v>202</v>
      </c>
      <c r="M34" s="56">
        <v>237</v>
      </c>
      <c r="N34" s="56">
        <v>275</v>
      </c>
      <c r="O34" s="56">
        <v>359</v>
      </c>
      <c r="P34" s="56">
        <v>561</v>
      </c>
      <c r="Q34" s="56">
        <v>808</v>
      </c>
      <c r="R34" s="56">
        <v>1100</v>
      </c>
      <c r="S34" s="56">
        <v>1436</v>
      </c>
      <c r="T34" s="56">
        <v>1818</v>
      </c>
      <c r="U34" s="56">
        <v>2244</v>
      </c>
      <c r="V34" s="56">
        <v>2715</v>
      </c>
      <c r="W34" s="56">
        <v>3506</v>
      </c>
      <c r="X34" s="57">
        <v>140</v>
      </c>
      <c r="Y34" s="19">
        <v>160</v>
      </c>
      <c r="Z34" s="19">
        <f>HLOOKUP($AH$15,$K$18:$W$52,21,FALSE)</f>
        <v>148</v>
      </c>
      <c r="AA34" s="87" t="str">
        <f t="shared" si="2"/>
        <v> </v>
      </c>
      <c r="AB34" s="88">
        <f t="shared" si="3"/>
        <v>13.5</v>
      </c>
      <c r="AC34" s="88">
        <f t="shared" si="4"/>
        <v>48.5</v>
      </c>
      <c r="AD34" s="88">
        <f t="shared" si="5"/>
        <v>86.5</v>
      </c>
      <c r="AE34" s="88">
        <f t="shared" si="6"/>
        <v>170.5</v>
      </c>
      <c r="AF34" s="88">
        <f t="shared" si="7"/>
        <v>372.5</v>
      </c>
      <c r="AG34" s="88">
        <f t="shared" si="8"/>
        <v>619.5</v>
      </c>
      <c r="AH34" s="88">
        <f t="shared" si="9"/>
        <v>911.5</v>
      </c>
      <c r="AI34" s="88">
        <f t="shared" si="10"/>
        <v>1247.5</v>
      </c>
      <c r="AJ34" s="88">
        <f t="shared" si="11"/>
        <v>1629.5</v>
      </c>
      <c r="AK34" s="88">
        <f t="shared" si="12"/>
        <v>2055.5</v>
      </c>
      <c r="AL34" s="88">
        <f t="shared" si="13"/>
        <v>2526.5</v>
      </c>
      <c r="AM34" s="89">
        <f t="shared" si="14"/>
        <v>3317.5</v>
      </c>
      <c r="AN34" s="168"/>
      <c r="AO34" s="105">
        <f t="shared" si="30"/>
        <v>170</v>
      </c>
      <c r="AP34" s="107">
        <f t="shared" si="15"/>
        <v>170</v>
      </c>
      <c r="AQ34" s="106">
        <f t="shared" si="16"/>
        <v>359</v>
      </c>
      <c r="AR34" s="79">
        <v>160</v>
      </c>
      <c r="AS34" s="79">
        <f>HLOOKUP($AH$15,$K$18:$W$52,21,FALSE)</f>
        <v>148</v>
      </c>
      <c r="AT34" s="97" t="str">
        <f t="shared" si="17"/>
        <v> </v>
      </c>
      <c r="AU34" s="98">
        <f t="shared" si="18"/>
        <v>13.5</v>
      </c>
      <c r="AV34" s="98">
        <f t="shared" si="19"/>
        <v>48.5</v>
      </c>
      <c r="AW34" s="98">
        <f t="shared" si="20"/>
        <v>86.5</v>
      </c>
      <c r="AX34" s="98">
        <f t="shared" si="21"/>
        <v>170.5</v>
      </c>
      <c r="AY34" s="98">
        <f t="shared" si="22"/>
        <v>372.5</v>
      </c>
      <c r="AZ34" s="98">
        <f t="shared" si="23"/>
        <v>619.5</v>
      </c>
      <c r="BA34" s="98">
        <f t="shared" si="24"/>
        <v>911.5</v>
      </c>
      <c r="BB34" s="98">
        <f t="shared" si="25"/>
        <v>1247.5</v>
      </c>
      <c r="BC34" s="98">
        <f t="shared" si="26"/>
        <v>1629.5</v>
      </c>
      <c r="BD34" s="98">
        <f t="shared" si="27"/>
        <v>2055.5</v>
      </c>
      <c r="BE34" s="98">
        <f t="shared" si="28"/>
        <v>2526.5</v>
      </c>
      <c r="BF34" s="99">
        <f t="shared" si="29"/>
        <v>3317.5</v>
      </c>
    </row>
    <row r="35" spans="1:58" ht="18">
      <c r="A35" s="13" t="s">
        <v>34</v>
      </c>
      <c r="B35" s="3" t="s">
        <v>44</v>
      </c>
      <c r="C35" s="4"/>
      <c r="D35" s="10">
        <v>850</v>
      </c>
      <c r="E35" s="8"/>
      <c r="G35" s="2"/>
      <c r="I35"/>
      <c r="J35" s="55">
        <v>145</v>
      </c>
      <c r="K35" s="56">
        <v>164</v>
      </c>
      <c r="L35" s="56">
        <v>195</v>
      </c>
      <c r="M35" s="56">
        <v>229</v>
      </c>
      <c r="N35" s="56">
        <v>265</v>
      </c>
      <c r="O35" s="56">
        <v>347</v>
      </c>
      <c r="P35" s="56">
        <v>542</v>
      </c>
      <c r="Q35" s="56">
        <v>780</v>
      </c>
      <c r="R35" s="56">
        <v>1062</v>
      </c>
      <c r="S35" s="56">
        <v>1387</v>
      </c>
      <c r="T35" s="56">
        <v>1755</v>
      </c>
      <c r="U35" s="56">
        <v>2167</v>
      </c>
      <c r="V35" s="56">
        <v>2622</v>
      </c>
      <c r="W35" s="56">
        <v>3385</v>
      </c>
      <c r="X35" s="57">
        <v>145</v>
      </c>
      <c r="Y35" s="19">
        <v>155</v>
      </c>
      <c r="Z35" s="19">
        <f>HLOOKUP($AH$15,$K$18:$W$52,20,FALSE)</f>
        <v>153</v>
      </c>
      <c r="AA35" s="87" t="str">
        <f t="shared" si="2"/>
        <v> </v>
      </c>
      <c r="AB35" s="88">
        <f t="shared" si="3"/>
        <v>6.5</v>
      </c>
      <c r="AC35" s="88">
        <f t="shared" si="4"/>
        <v>40.5</v>
      </c>
      <c r="AD35" s="88">
        <f t="shared" si="5"/>
        <v>76.5</v>
      </c>
      <c r="AE35" s="88">
        <f t="shared" si="6"/>
        <v>158.5</v>
      </c>
      <c r="AF35" s="88">
        <f t="shared" si="7"/>
        <v>353.5</v>
      </c>
      <c r="AG35" s="88">
        <f t="shared" si="8"/>
        <v>591.5</v>
      </c>
      <c r="AH35" s="88">
        <f t="shared" si="9"/>
        <v>873.5</v>
      </c>
      <c r="AI35" s="88">
        <f t="shared" si="10"/>
        <v>1198.5</v>
      </c>
      <c r="AJ35" s="88">
        <f t="shared" si="11"/>
        <v>1566.5</v>
      </c>
      <c r="AK35" s="88">
        <f t="shared" si="12"/>
        <v>1978.5</v>
      </c>
      <c r="AL35" s="88">
        <f t="shared" si="13"/>
        <v>2433.5</v>
      </c>
      <c r="AM35" s="89">
        <f t="shared" si="14"/>
        <v>3196.5</v>
      </c>
      <c r="AN35" s="168"/>
      <c r="AO35" s="105">
        <f t="shared" si="30"/>
        <v>164</v>
      </c>
      <c r="AP35" s="107">
        <f t="shared" si="15"/>
        <v>164</v>
      </c>
      <c r="AQ35" s="106">
        <f t="shared" si="16"/>
        <v>347</v>
      </c>
      <c r="AR35" s="79">
        <v>155</v>
      </c>
      <c r="AS35" s="79">
        <f>HLOOKUP($AH$15,$K$18:$W$52,20,FALSE)</f>
        <v>153</v>
      </c>
      <c r="AT35" s="97" t="str">
        <f t="shared" si="17"/>
        <v> </v>
      </c>
      <c r="AU35" s="98">
        <f t="shared" si="18"/>
        <v>6.5</v>
      </c>
      <c r="AV35" s="98">
        <f t="shared" si="19"/>
        <v>40.5</v>
      </c>
      <c r="AW35" s="98">
        <f t="shared" si="20"/>
        <v>76.5</v>
      </c>
      <c r="AX35" s="98">
        <f t="shared" si="21"/>
        <v>158.5</v>
      </c>
      <c r="AY35" s="98">
        <f t="shared" si="22"/>
        <v>353.5</v>
      </c>
      <c r="AZ35" s="98">
        <f t="shared" si="23"/>
        <v>591.5</v>
      </c>
      <c r="BA35" s="98">
        <f t="shared" si="24"/>
        <v>873.5</v>
      </c>
      <c r="BB35" s="98">
        <f t="shared" si="25"/>
        <v>1198.5</v>
      </c>
      <c r="BC35" s="98">
        <f t="shared" si="26"/>
        <v>1566.5</v>
      </c>
      <c r="BD35" s="98">
        <f t="shared" si="27"/>
        <v>1978.5</v>
      </c>
      <c r="BE35" s="98">
        <f t="shared" si="28"/>
        <v>2433.5</v>
      </c>
      <c r="BF35" s="99">
        <f t="shared" si="29"/>
        <v>3196.5</v>
      </c>
    </row>
    <row r="36" spans="1:58" ht="28.5">
      <c r="A36" s="13" t="s">
        <v>34</v>
      </c>
      <c r="B36" s="3" t="s">
        <v>45</v>
      </c>
      <c r="C36" s="4"/>
      <c r="D36" s="10">
        <v>700</v>
      </c>
      <c r="E36" s="8"/>
      <c r="G36" s="2"/>
      <c r="I36"/>
      <c r="J36" s="55">
        <v>150</v>
      </c>
      <c r="K36" s="56">
        <v>158</v>
      </c>
      <c r="L36" s="56">
        <v>188</v>
      </c>
      <c r="M36" s="56">
        <v>221</v>
      </c>
      <c r="N36" s="56">
        <v>257</v>
      </c>
      <c r="O36" s="56">
        <v>335</v>
      </c>
      <c r="P36" s="56">
        <v>524</v>
      </c>
      <c r="Q36" s="56">
        <v>754</v>
      </c>
      <c r="R36" s="56">
        <v>1026</v>
      </c>
      <c r="S36" s="56">
        <v>1340</v>
      </c>
      <c r="T36" s="56">
        <v>1696</v>
      </c>
      <c r="U36" s="56">
        <v>2094</v>
      </c>
      <c r="V36" s="56">
        <v>2534</v>
      </c>
      <c r="W36" s="56">
        <v>3272</v>
      </c>
      <c r="X36" s="57">
        <v>150</v>
      </c>
      <c r="Y36" s="19">
        <v>150</v>
      </c>
      <c r="Z36" s="19">
        <f>HLOOKUP($AH$15,$K$18:$W$52,19,FALSE)</f>
        <v>158</v>
      </c>
      <c r="AA36" s="87" t="str">
        <f t="shared" si="2"/>
        <v> </v>
      </c>
      <c r="AB36" s="88" t="str">
        <f t="shared" si="3"/>
        <v> </v>
      </c>
      <c r="AC36" s="88">
        <f t="shared" si="4"/>
        <v>32.5</v>
      </c>
      <c r="AD36" s="88">
        <f t="shared" si="5"/>
        <v>68.5</v>
      </c>
      <c r="AE36" s="88">
        <f t="shared" si="6"/>
        <v>146.5</v>
      </c>
      <c r="AF36" s="88">
        <f t="shared" si="7"/>
        <v>335.5</v>
      </c>
      <c r="AG36" s="88">
        <f t="shared" si="8"/>
        <v>565.5</v>
      </c>
      <c r="AH36" s="88">
        <f t="shared" si="9"/>
        <v>837.5</v>
      </c>
      <c r="AI36" s="88">
        <f t="shared" si="10"/>
        <v>1151.5</v>
      </c>
      <c r="AJ36" s="88">
        <f t="shared" si="11"/>
        <v>1507.5</v>
      </c>
      <c r="AK36" s="88">
        <f t="shared" si="12"/>
        <v>1905.5</v>
      </c>
      <c r="AL36" s="88">
        <f t="shared" si="13"/>
        <v>2345.5</v>
      </c>
      <c r="AM36" s="89">
        <f t="shared" si="14"/>
        <v>3083.5</v>
      </c>
      <c r="AN36" s="168"/>
      <c r="AO36" s="105">
        <f t="shared" si="30"/>
        <v>158</v>
      </c>
      <c r="AP36" s="107">
        <f t="shared" si="15"/>
        <v>158</v>
      </c>
      <c r="AQ36" s="106">
        <f t="shared" si="16"/>
        <v>335</v>
      </c>
      <c r="AR36" s="79">
        <v>150</v>
      </c>
      <c r="AS36" s="79">
        <f>HLOOKUP($AH$15,$K$18:$W$52,19,FALSE)</f>
        <v>158</v>
      </c>
      <c r="AT36" s="97" t="str">
        <f t="shared" si="17"/>
        <v> </v>
      </c>
      <c r="AU36" s="98" t="str">
        <f t="shared" si="18"/>
        <v> </v>
      </c>
      <c r="AV36" s="98">
        <f t="shared" si="19"/>
        <v>32.5</v>
      </c>
      <c r="AW36" s="98">
        <f t="shared" si="20"/>
        <v>68.5</v>
      </c>
      <c r="AX36" s="98">
        <f t="shared" si="21"/>
        <v>146.5</v>
      </c>
      <c r="AY36" s="98">
        <f t="shared" si="22"/>
        <v>335.5</v>
      </c>
      <c r="AZ36" s="98">
        <f t="shared" si="23"/>
        <v>565.5</v>
      </c>
      <c r="BA36" s="98">
        <f t="shared" si="24"/>
        <v>837.5</v>
      </c>
      <c r="BB36" s="98">
        <f t="shared" si="25"/>
        <v>1151.5</v>
      </c>
      <c r="BC36" s="98">
        <f t="shared" si="26"/>
        <v>1507.5</v>
      </c>
      <c r="BD36" s="98">
        <f t="shared" si="27"/>
        <v>1905.5</v>
      </c>
      <c r="BE36" s="98">
        <f t="shared" si="28"/>
        <v>2345.5</v>
      </c>
      <c r="BF36" s="99">
        <f t="shared" si="29"/>
        <v>3083.5</v>
      </c>
    </row>
    <row r="37" spans="1:58" ht="18">
      <c r="A37" s="13" t="s">
        <v>34</v>
      </c>
      <c r="B37" s="3" t="s">
        <v>46</v>
      </c>
      <c r="C37" s="4" t="s">
        <v>47</v>
      </c>
      <c r="D37" s="10">
        <v>2200</v>
      </c>
      <c r="E37" s="8"/>
      <c r="G37" s="2"/>
      <c r="I37"/>
      <c r="J37" s="55">
        <v>155</v>
      </c>
      <c r="K37" s="56">
        <v>153</v>
      </c>
      <c r="L37" s="56">
        <v>182</v>
      </c>
      <c r="M37" s="56">
        <v>214</v>
      </c>
      <c r="N37" s="56">
        <v>248</v>
      </c>
      <c r="O37" s="56">
        <v>324</v>
      </c>
      <c r="P37" s="56">
        <v>507</v>
      </c>
      <c r="Q37" s="56">
        <v>730</v>
      </c>
      <c r="R37" s="56">
        <v>993</v>
      </c>
      <c r="S37" s="56">
        <v>1297</v>
      </c>
      <c r="T37" s="56">
        <v>1642</v>
      </c>
      <c r="U37" s="56">
        <v>2027</v>
      </c>
      <c r="V37" s="56">
        <v>2452</v>
      </c>
      <c r="W37" s="56">
        <v>3167</v>
      </c>
      <c r="X37" s="57">
        <v>155</v>
      </c>
      <c r="Y37" s="19">
        <v>145</v>
      </c>
      <c r="Z37" s="19">
        <f>HLOOKUP($AH$15,$K$18:$W$52,18,FALSE)</f>
        <v>164</v>
      </c>
      <c r="AA37" s="87" t="str">
        <f t="shared" si="2"/>
        <v> </v>
      </c>
      <c r="AB37" s="88" t="str">
        <f t="shared" si="3"/>
        <v> </v>
      </c>
      <c r="AC37" s="88">
        <f t="shared" si="4"/>
        <v>25.5</v>
      </c>
      <c r="AD37" s="88">
        <f t="shared" si="5"/>
        <v>59.5</v>
      </c>
      <c r="AE37" s="88">
        <f t="shared" si="6"/>
        <v>135.5</v>
      </c>
      <c r="AF37" s="88">
        <f t="shared" si="7"/>
        <v>318.5</v>
      </c>
      <c r="AG37" s="88">
        <f t="shared" si="8"/>
        <v>541.5</v>
      </c>
      <c r="AH37" s="88">
        <f t="shared" si="9"/>
        <v>804.5</v>
      </c>
      <c r="AI37" s="88">
        <f t="shared" si="10"/>
        <v>1108.5</v>
      </c>
      <c r="AJ37" s="88">
        <f t="shared" si="11"/>
        <v>1453.5</v>
      </c>
      <c r="AK37" s="88">
        <f t="shared" si="12"/>
        <v>1838.5</v>
      </c>
      <c r="AL37" s="88">
        <f t="shared" si="13"/>
        <v>2263.5</v>
      </c>
      <c r="AM37" s="89">
        <f t="shared" si="14"/>
        <v>2978.5</v>
      </c>
      <c r="AN37" s="168"/>
      <c r="AO37" s="105">
        <f t="shared" si="30"/>
        <v>153</v>
      </c>
      <c r="AP37" s="107">
        <f t="shared" si="15"/>
        <v>153</v>
      </c>
      <c r="AQ37" s="106">
        <f t="shared" si="16"/>
        <v>324</v>
      </c>
      <c r="AR37" s="79">
        <v>145</v>
      </c>
      <c r="AS37" s="79">
        <f>HLOOKUP($AH$15,$K$18:$W$52,18,FALSE)</f>
        <v>164</v>
      </c>
      <c r="AT37" s="97" t="str">
        <f t="shared" si="17"/>
        <v> </v>
      </c>
      <c r="AU37" s="98" t="str">
        <f t="shared" si="18"/>
        <v> </v>
      </c>
      <c r="AV37" s="98">
        <f t="shared" si="19"/>
        <v>25.5</v>
      </c>
      <c r="AW37" s="98">
        <f t="shared" si="20"/>
        <v>59.5</v>
      </c>
      <c r="AX37" s="98">
        <f t="shared" si="21"/>
        <v>135.5</v>
      </c>
      <c r="AY37" s="98">
        <f t="shared" si="22"/>
        <v>318.5</v>
      </c>
      <c r="AZ37" s="98">
        <f t="shared" si="23"/>
        <v>541.5</v>
      </c>
      <c r="BA37" s="98">
        <f t="shared" si="24"/>
        <v>804.5</v>
      </c>
      <c r="BB37" s="98">
        <f t="shared" si="25"/>
        <v>1108.5</v>
      </c>
      <c r="BC37" s="98">
        <f t="shared" si="26"/>
        <v>1453.5</v>
      </c>
      <c r="BD37" s="98">
        <f t="shared" si="27"/>
        <v>1838.5</v>
      </c>
      <c r="BE37" s="98">
        <f t="shared" si="28"/>
        <v>2263.5</v>
      </c>
      <c r="BF37" s="99">
        <f t="shared" si="29"/>
        <v>2978.5</v>
      </c>
    </row>
    <row r="38" spans="1:58" ht="18">
      <c r="A38" s="13" t="s">
        <v>34</v>
      </c>
      <c r="B38" s="3" t="s">
        <v>46</v>
      </c>
      <c r="C38" s="4" t="s">
        <v>48</v>
      </c>
      <c r="D38" s="10">
        <v>1400</v>
      </c>
      <c r="E38" s="8"/>
      <c r="G38" s="2"/>
      <c r="I38"/>
      <c r="J38" s="55">
        <v>160</v>
      </c>
      <c r="K38" s="56">
        <v>148</v>
      </c>
      <c r="L38" s="56">
        <v>177</v>
      </c>
      <c r="M38" s="56">
        <v>207</v>
      </c>
      <c r="N38" s="56">
        <v>241</v>
      </c>
      <c r="O38" s="56">
        <v>314</v>
      </c>
      <c r="P38" s="56">
        <v>491</v>
      </c>
      <c r="Q38" s="56">
        <v>707</v>
      </c>
      <c r="R38" s="56">
        <v>962</v>
      </c>
      <c r="S38" s="56">
        <v>1257</v>
      </c>
      <c r="T38" s="56">
        <v>1590</v>
      </c>
      <c r="U38" s="56">
        <v>1963</v>
      </c>
      <c r="V38" s="56">
        <v>2376</v>
      </c>
      <c r="W38" s="56">
        <v>3068</v>
      </c>
      <c r="X38" s="57">
        <v>160</v>
      </c>
      <c r="Y38" s="19">
        <v>140</v>
      </c>
      <c r="Z38" s="19">
        <f>HLOOKUP($AH$15,$K$18:$W$52,17,FALSE)</f>
        <v>170</v>
      </c>
      <c r="AA38" s="87" t="str">
        <f t="shared" si="2"/>
        <v> </v>
      </c>
      <c r="AB38" s="88" t="str">
        <f t="shared" si="3"/>
        <v> </v>
      </c>
      <c r="AC38" s="88">
        <f t="shared" si="4"/>
        <v>18.5</v>
      </c>
      <c r="AD38" s="88">
        <f t="shared" si="5"/>
        <v>52.5</v>
      </c>
      <c r="AE38" s="88">
        <f t="shared" si="6"/>
        <v>125.5</v>
      </c>
      <c r="AF38" s="88">
        <f t="shared" si="7"/>
        <v>302.5</v>
      </c>
      <c r="AG38" s="88">
        <f t="shared" si="8"/>
        <v>518.5</v>
      </c>
      <c r="AH38" s="88">
        <f t="shared" si="9"/>
        <v>773.5</v>
      </c>
      <c r="AI38" s="88">
        <f t="shared" si="10"/>
        <v>1068.5</v>
      </c>
      <c r="AJ38" s="88">
        <f t="shared" si="11"/>
        <v>1401.5</v>
      </c>
      <c r="AK38" s="88">
        <f t="shared" si="12"/>
        <v>1774.5</v>
      </c>
      <c r="AL38" s="88">
        <f t="shared" si="13"/>
        <v>2187.5</v>
      </c>
      <c r="AM38" s="89">
        <f t="shared" si="14"/>
        <v>2879.5</v>
      </c>
      <c r="AN38" s="168"/>
      <c r="AO38" s="105">
        <f t="shared" si="30"/>
        <v>148</v>
      </c>
      <c r="AP38" s="107">
        <f t="shared" si="15"/>
        <v>148</v>
      </c>
      <c r="AQ38" s="106">
        <f t="shared" si="16"/>
        <v>314</v>
      </c>
      <c r="AR38" s="79">
        <v>140</v>
      </c>
      <c r="AS38" s="79">
        <f>HLOOKUP($AH$15,$K$18:$W$52,17,FALSE)</f>
        <v>170</v>
      </c>
      <c r="AT38" s="97" t="str">
        <f t="shared" si="17"/>
        <v> </v>
      </c>
      <c r="AU38" s="98" t="str">
        <f t="shared" si="18"/>
        <v> </v>
      </c>
      <c r="AV38" s="98">
        <f t="shared" si="19"/>
        <v>18.5</v>
      </c>
      <c r="AW38" s="98">
        <f t="shared" si="20"/>
        <v>52.5</v>
      </c>
      <c r="AX38" s="98">
        <f t="shared" si="21"/>
        <v>125.5</v>
      </c>
      <c r="AY38" s="98">
        <f t="shared" si="22"/>
        <v>302.5</v>
      </c>
      <c r="AZ38" s="98">
        <f t="shared" si="23"/>
        <v>518.5</v>
      </c>
      <c r="BA38" s="98">
        <f t="shared" si="24"/>
        <v>773.5</v>
      </c>
      <c r="BB38" s="98">
        <f t="shared" si="25"/>
        <v>1068.5</v>
      </c>
      <c r="BC38" s="98">
        <f t="shared" si="26"/>
        <v>1401.5</v>
      </c>
      <c r="BD38" s="98">
        <f t="shared" si="27"/>
        <v>1774.5</v>
      </c>
      <c r="BE38" s="98">
        <f t="shared" si="28"/>
        <v>2187.5</v>
      </c>
      <c r="BF38" s="99">
        <f t="shared" si="29"/>
        <v>2879.5</v>
      </c>
    </row>
    <row r="39" spans="1:58" ht="18">
      <c r="A39" s="13" t="s">
        <v>34</v>
      </c>
      <c r="B39" s="3" t="s">
        <v>46</v>
      </c>
      <c r="C39" s="4" t="s">
        <v>49</v>
      </c>
      <c r="D39" s="10">
        <v>2300</v>
      </c>
      <c r="E39" s="8"/>
      <c r="G39" s="2"/>
      <c r="I39"/>
      <c r="J39" s="55">
        <v>165</v>
      </c>
      <c r="K39" s="56">
        <v>144</v>
      </c>
      <c r="L39" s="56">
        <v>171</v>
      </c>
      <c r="M39" s="56">
        <v>201</v>
      </c>
      <c r="N39" s="56">
        <v>233</v>
      </c>
      <c r="O39" s="56">
        <v>305</v>
      </c>
      <c r="P39" s="56">
        <v>476</v>
      </c>
      <c r="Q39" s="56">
        <v>685</v>
      </c>
      <c r="R39" s="56">
        <v>933</v>
      </c>
      <c r="S39" s="56">
        <v>1219</v>
      </c>
      <c r="T39" s="56">
        <v>1542</v>
      </c>
      <c r="U39" s="56">
        <v>1904</v>
      </c>
      <c r="V39" s="56">
        <v>2304</v>
      </c>
      <c r="W39" s="56">
        <v>2975</v>
      </c>
      <c r="X39" s="57">
        <v>165</v>
      </c>
      <c r="Y39" s="19">
        <v>135</v>
      </c>
      <c r="Z39" s="19">
        <f>HLOOKUP($AH$15,$K$18:$W$52,16,FALSE)</f>
        <v>176</v>
      </c>
      <c r="AA39" s="87" t="str">
        <f t="shared" si="2"/>
        <v> </v>
      </c>
      <c r="AB39" s="88" t="str">
        <f t="shared" si="3"/>
        <v> </v>
      </c>
      <c r="AC39" s="88">
        <f t="shared" si="4"/>
        <v>12.5</v>
      </c>
      <c r="AD39" s="88">
        <f t="shared" si="5"/>
        <v>44.5</v>
      </c>
      <c r="AE39" s="88">
        <f t="shared" si="6"/>
        <v>116.5</v>
      </c>
      <c r="AF39" s="88">
        <f t="shared" si="7"/>
        <v>287.5</v>
      </c>
      <c r="AG39" s="88">
        <f t="shared" si="8"/>
        <v>496.5</v>
      </c>
      <c r="AH39" s="88">
        <f t="shared" si="9"/>
        <v>744.5</v>
      </c>
      <c r="AI39" s="88">
        <f t="shared" si="10"/>
        <v>1030.5</v>
      </c>
      <c r="AJ39" s="88">
        <f t="shared" si="11"/>
        <v>1353.5</v>
      </c>
      <c r="AK39" s="88">
        <f t="shared" si="12"/>
        <v>1715.5</v>
      </c>
      <c r="AL39" s="88">
        <f t="shared" si="13"/>
        <v>2115.5</v>
      </c>
      <c r="AM39" s="89">
        <f t="shared" si="14"/>
        <v>2786.5</v>
      </c>
      <c r="AN39" s="168"/>
      <c r="AO39" s="105">
        <f t="shared" si="30"/>
        <v>144</v>
      </c>
      <c r="AP39" s="107">
        <f t="shared" si="15"/>
        <v>144</v>
      </c>
      <c r="AQ39" s="106">
        <f t="shared" si="16"/>
        <v>305</v>
      </c>
      <c r="AR39" s="79">
        <v>135</v>
      </c>
      <c r="AS39" s="79">
        <f>HLOOKUP($AH$15,$K$18:$W$52,16,FALSE)</f>
        <v>176</v>
      </c>
      <c r="AT39" s="97" t="str">
        <f t="shared" si="17"/>
        <v> </v>
      </c>
      <c r="AU39" s="98" t="str">
        <f t="shared" si="18"/>
        <v> </v>
      </c>
      <c r="AV39" s="98">
        <f t="shared" si="19"/>
        <v>12.5</v>
      </c>
      <c r="AW39" s="98">
        <f t="shared" si="20"/>
        <v>44.5</v>
      </c>
      <c r="AX39" s="98">
        <f t="shared" si="21"/>
        <v>116.5</v>
      </c>
      <c r="AY39" s="98">
        <f t="shared" si="22"/>
        <v>287.5</v>
      </c>
      <c r="AZ39" s="98">
        <f t="shared" si="23"/>
        <v>496.5</v>
      </c>
      <c r="BA39" s="98">
        <f t="shared" si="24"/>
        <v>744.5</v>
      </c>
      <c r="BB39" s="98">
        <f t="shared" si="25"/>
        <v>1030.5</v>
      </c>
      <c r="BC39" s="98">
        <f t="shared" si="26"/>
        <v>1353.5</v>
      </c>
      <c r="BD39" s="98">
        <f t="shared" si="27"/>
        <v>1715.5</v>
      </c>
      <c r="BE39" s="98">
        <f t="shared" si="28"/>
        <v>2115.5</v>
      </c>
      <c r="BF39" s="99">
        <f t="shared" si="29"/>
        <v>2786.5</v>
      </c>
    </row>
    <row r="40" spans="1:58" ht="18">
      <c r="A40" s="13" t="s">
        <v>50</v>
      </c>
      <c r="B40" s="3" t="s">
        <v>51</v>
      </c>
      <c r="C40" s="4" t="s">
        <v>52</v>
      </c>
      <c r="D40" s="10">
        <v>1200</v>
      </c>
      <c r="E40" s="8"/>
      <c r="G40" s="2"/>
      <c r="I40"/>
      <c r="J40" s="55">
        <v>170</v>
      </c>
      <c r="K40" s="56">
        <v>140</v>
      </c>
      <c r="L40" s="56">
        <v>166</v>
      </c>
      <c r="M40" s="56">
        <v>195</v>
      </c>
      <c r="N40" s="56">
        <v>226</v>
      </c>
      <c r="O40" s="56">
        <v>296</v>
      </c>
      <c r="P40" s="56">
        <v>462</v>
      </c>
      <c r="Q40" s="56">
        <v>665</v>
      </c>
      <c r="R40" s="56">
        <v>906</v>
      </c>
      <c r="S40" s="56">
        <v>1183</v>
      </c>
      <c r="T40" s="56">
        <v>1497</v>
      </c>
      <c r="U40" s="56">
        <v>1848</v>
      </c>
      <c r="V40" s="56">
        <v>2236</v>
      </c>
      <c r="W40" s="56">
        <v>2887</v>
      </c>
      <c r="X40" s="57">
        <v>170</v>
      </c>
      <c r="Y40" s="19">
        <v>130</v>
      </c>
      <c r="Z40" s="19">
        <f>HLOOKUP($AH$15,$K$18:$W$52,15,FALSE)</f>
        <v>183</v>
      </c>
      <c r="AA40" s="87" t="str">
        <f t="shared" si="2"/>
        <v> </v>
      </c>
      <c r="AB40" s="88" t="str">
        <f t="shared" si="3"/>
        <v> </v>
      </c>
      <c r="AC40" s="88">
        <f t="shared" si="4"/>
        <v>6.5</v>
      </c>
      <c r="AD40" s="88">
        <f t="shared" si="5"/>
        <v>37.5</v>
      </c>
      <c r="AE40" s="88">
        <f t="shared" si="6"/>
        <v>107.5</v>
      </c>
      <c r="AF40" s="88">
        <f t="shared" si="7"/>
        <v>273.5</v>
      </c>
      <c r="AG40" s="88">
        <f t="shared" si="8"/>
        <v>476.5</v>
      </c>
      <c r="AH40" s="88">
        <f t="shared" si="9"/>
        <v>717.5</v>
      </c>
      <c r="AI40" s="88">
        <f t="shared" si="10"/>
        <v>994.5</v>
      </c>
      <c r="AJ40" s="88">
        <f t="shared" si="11"/>
        <v>1308.5</v>
      </c>
      <c r="AK40" s="88">
        <f t="shared" si="12"/>
        <v>1659.5</v>
      </c>
      <c r="AL40" s="88">
        <f t="shared" si="13"/>
        <v>2047.5</v>
      </c>
      <c r="AM40" s="89">
        <f t="shared" si="14"/>
        <v>2698.5</v>
      </c>
      <c r="AN40" s="168"/>
      <c r="AO40" s="105">
        <f t="shared" si="30"/>
        <v>140</v>
      </c>
      <c r="AP40" s="107">
        <f t="shared" si="15"/>
        <v>140</v>
      </c>
      <c r="AQ40" s="106">
        <f t="shared" si="16"/>
        <v>296</v>
      </c>
      <c r="AR40" s="79">
        <v>130</v>
      </c>
      <c r="AS40" s="79">
        <f>HLOOKUP($AH$15,$K$18:$W$52,15,FALSE)</f>
        <v>183</v>
      </c>
      <c r="AT40" s="97" t="str">
        <f t="shared" si="17"/>
        <v> </v>
      </c>
      <c r="AU40" s="98" t="str">
        <f t="shared" si="18"/>
        <v> </v>
      </c>
      <c r="AV40" s="98">
        <f t="shared" si="19"/>
        <v>6.5</v>
      </c>
      <c r="AW40" s="98">
        <f t="shared" si="20"/>
        <v>37.5</v>
      </c>
      <c r="AX40" s="98">
        <f t="shared" si="21"/>
        <v>107.5</v>
      </c>
      <c r="AY40" s="98">
        <f t="shared" si="22"/>
        <v>273.5</v>
      </c>
      <c r="AZ40" s="98">
        <f t="shared" si="23"/>
        <v>476.5</v>
      </c>
      <c r="BA40" s="98">
        <f t="shared" si="24"/>
        <v>717.5</v>
      </c>
      <c r="BB40" s="98">
        <f t="shared" si="25"/>
        <v>994.5</v>
      </c>
      <c r="BC40" s="98">
        <f t="shared" si="26"/>
        <v>1308.5</v>
      </c>
      <c r="BD40" s="98">
        <f t="shared" si="27"/>
        <v>1659.5</v>
      </c>
      <c r="BE40" s="98">
        <f t="shared" si="28"/>
        <v>2047.5</v>
      </c>
      <c r="BF40" s="99">
        <f t="shared" si="29"/>
        <v>2698.5</v>
      </c>
    </row>
    <row r="41" spans="1:58" ht="18">
      <c r="A41" s="13" t="s">
        <v>50</v>
      </c>
      <c r="B41" s="3" t="s">
        <v>51</v>
      </c>
      <c r="C41" s="4" t="s">
        <v>53</v>
      </c>
      <c r="D41" s="10">
        <v>1500</v>
      </c>
      <c r="E41" s="8"/>
      <c r="G41" s="2"/>
      <c r="I41"/>
      <c r="J41" s="55">
        <v>175</v>
      </c>
      <c r="K41" s="56">
        <v>136</v>
      </c>
      <c r="L41" s="56">
        <v>162</v>
      </c>
      <c r="M41" s="56">
        <v>190</v>
      </c>
      <c r="N41" s="56">
        <v>220</v>
      </c>
      <c r="O41" s="56">
        <v>287</v>
      </c>
      <c r="P41" s="56">
        <v>449</v>
      </c>
      <c r="Q41" s="56">
        <v>646</v>
      </c>
      <c r="R41" s="56">
        <v>880</v>
      </c>
      <c r="S41" s="56">
        <v>1149</v>
      </c>
      <c r="T41" s="56">
        <v>1454</v>
      </c>
      <c r="U41" s="56">
        <v>1795</v>
      </c>
      <c r="V41" s="56">
        <v>2172</v>
      </c>
      <c r="W41" s="56">
        <v>2805</v>
      </c>
      <c r="X41" s="57">
        <v>175</v>
      </c>
      <c r="Y41" s="19">
        <v>125</v>
      </c>
      <c r="Z41" s="19">
        <f>HLOOKUP($AH$15,$K$18:$W$52,14,FALSE)</f>
        <v>190</v>
      </c>
      <c r="AA41" s="87" t="str">
        <f t="shared" si="2"/>
        <v> </v>
      </c>
      <c r="AB41" s="88" t="str">
        <f t="shared" si="3"/>
        <v> </v>
      </c>
      <c r="AC41" s="88">
        <f t="shared" si="4"/>
        <v>1.5</v>
      </c>
      <c r="AD41" s="88">
        <f t="shared" si="5"/>
        <v>31.5</v>
      </c>
      <c r="AE41" s="88">
        <f t="shared" si="6"/>
        <v>98.5</v>
      </c>
      <c r="AF41" s="88">
        <f t="shared" si="7"/>
        <v>260.5</v>
      </c>
      <c r="AG41" s="88">
        <f t="shared" si="8"/>
        <v>457.5</v>
      </c>
      <c r="AH41" s="88">
        <f t="shared" si="9"/>
        <v>691.5</v>
      </c>
      <c r="AI41" s="88">
        <f t="shared" si="10"/>
        <v>960.5</v>
      </c>
      <c r="AJ41" s="88">
        <f t="shared" si="11"/>
        <v>1265.5</v>
      </c>
      <c r="AK41" s="88">
        <f t="shared" si="12"/>
        <v>1606.5</v>
      </c>
      <c r="AL41" s="88">
        <f t="shared" si="13"/>
        <v>1983.5</v>
      </c>
      <c r="AM41" s="89">
        <f t="shared" si="14"/>
        <v>2616.5</v>
      </c>
      <c r="AN41" s="168"/>
      <c r="AO41" s="105">
        <f t="shared" si="30"/>
        <v>136</v>
      </c>
      <c r="AP41" s="107">
        <f t="shared" si="15"/>
        <v>136</v>
      </c>
      <c r="AQ41" s="106">
        <f t="shared" si="16"/>
        <v>287</v>
      </c>
      <c r="AR41" s="79">
        <v>125</v>
      </c>
      <c r="AS41" s="79">
        <f>HLOOKUP($AH$15,$K$18:$W$52,14,FALSE)</f>
        <v>190</v>
      </c>
      <c r="AT41" s="97" t="str">
        <f t="shared" si="17"/>
        <v> </v>
      </c>
      <c r="AU41" s="98" t="str">
        <f t="shared" si="18"/>
        <v> </v>
      </c>
      <c r="AV41" s="98">
        <f t="shared" si="19"/>
        <v>1.5</v>
      </c>
      <c r="AW41" s="98">
        <f t="shared" si="20"/>
        <v>31.5</v>
      </c>
      <c r="AX41" s="98">
        <f t="shared" si="21"/>
        <v>98.5</v>
      </c>
      <c r="AY41" s="98">
        <f t="shared" si="22"/>
        <v>260.5</v>
      </c>
      <c r="AZ41" s="98">
        <f t="shared" si="23"/>
        <v>457.5</v>
      </c>
      <c r="BA41" s="98">
        <f t="shared" si="24"/>
        <v>691.5</v>
      </c>
      <c r="BB41" s="98">
        <f t="shared" si="25"/>
        <v>960.5</v>
      </c>
      <c r="BC41" s="98">
        <f t="shared" si="26"/>
        <v>1265.5</v>
      </c>
      <c r="BD41" s="98">
        <f t="shared" si="27"/>
        <v>1606.5</v>
      </c>
      <c r="BE41" s="98">
        <f t="shared" si="28"/>
        <v>1983.5</v>
      </c>
      <c r="BF41" s="99">
        <f t="shared" si="29"/>
        <v>2616.5</v>
      </c>
    </row>
    <row r="42" spans="1:58" ht="18">
      <c r="A42" s="13" t="s">
        <v>50</v>
      </c>
      <c r="B42" s="3" t="s">
        <v>54</v>
      </c>
      <c r="C42" s="4"/>
      <c r="D42" s="10">
        <v>600</v>
      </c>
      <c r="E42" s="8"/>
      <c r="G42" s="2"/>
      <c r="I42"/>
      <c r="J42" s="55">
        <v>180</v>
      </c>
      <c r="K42" s="56">
        <v>132</v>
      </c>
      <c r="L42" s="56">
        <v>157</v>
      </c>
      <c r="M42" s="56">
        <v>184</v>
      </c>
      <c r="N42" s="56">
        <v>214</v>
      </c>
      <c r="O42" s="56">
        <v>279</v>
      </c>
      <c r="P42" s="56">
        <v>436</v>
      </c>
      <c r="Q42" s="56">
        <v>628</v>
      </c>
      <c r="R42" s="56">
        <v>855</v>
      </c>
      <c r="S42" s="56">
        <v>1117</v>
      </c>
      <c r="T42" s="56">
        <v>1414</v>
      </c>
      <c r="U42" s="56">
        <v>1745</v>
      </c>
      <c r="V42" s="56">
        <v>2112</v>
      </c>
      <c r="W42" s="56">
        <v>2727</v>
      </c>
      <c r="X42" s="57">
        <v>180</v>
      </c>
      <c r="Y42" s="19">
        <v>120</v>
      </c>
      <c r="Z42" s="19">
        <f>HLOOKUP($AH$15,$K$18:$W$52,13,FALSE)</f>
        <v>198</v>
      </c>
      <c r="AA42" s="87" t="str">
        <f t="shared" si="2"/>
        <v> </v>
      </c>
      <c r="AB42" s="88" t="str">
        <f t="shared" si="3"/>
        <v> </v>
      </c>
      <c r="AC42" s="88" t="str">
        <f t="shared" si="4"/>
        <v> </v>
      </c>
      <c r="AD42" s="88">
        <f t="shared" si="5"/>
        <v>25.5</v>
      </c>
      <c r="AE42" s="88">
        <f t="shared" si="6"/>
        <v>90.5</v>
      </c>
      <c r="AF42" s="88">
        <f t="shared" si="7"/>
        <v>247.5</v>
      </c>
      <c r="AG42" s="88">
        <f t="shared" si="8"/>
        <v>439.5</v>
      </c>
      <c r="AH42" s="88">
        <f t="shared" si="9"/>
        <v>666.5</v>
      </c>
      <c r="AI42" s="88">
        <f t="shared" si="10"/>
        <v>928.5</v>
      </c>
      <c r="AJ42" s="88">
        <f t="shared" si="11"/>
        <v>1225.5</v>
      </c>
      <c r="AK42" s="88">
        <f t="shared" si="12"/>
        <v>1556.5</v>
      </c>
      <c r="AL42" s="88">
        <f t="shared" si="13"/>
        <v>1923.5</v>
      </c>
      <c r="AM42" s="89">
        <f t="shared" si="14"/>
        <v>2538.5</v>
      </c>
      <c r="AN42" s="168"/>
      <c r="AO42" s="105">
        <f t="shared" si="30"/>
        <v>132</v>
      </c>
      <c r="AP42" s="107">
        <f t="shared" si="15"/>
        <v>132</v>
      </c>
      <c r="AQ42" s="106">
        <f t="shared" si="16"/>
        <v>279</v>
      </c>
      <c r="AR42" s="79">
        <v>120</v>
      </c>
      <c r="AS42" s="79">
        <f>HLOOKUP($AH$15,$K$18:$W$52,13,FALSE)</f>
        <v>198</v>
      </c>
      <c r="AT42" s="97" t="str">
        <f t="shared" si="17"/>
        <v> </v>
      </c>
      <c r="AU42" s="98" t="str">
        <f t="shared" si="18"/>
        <v> </v>
      </c>
      <c r="AV42" s="98" t="str">
        <f t="shared" si="19"/>
        <v> </v>
      </c>
      <c r="AW42" s="98">
        <f t="shared" si="20"/>
        <v>25.5</v>
      </c>
      <c r="AX42" s="98">
        <f t="shared" si="21"/>
        <v>90.5</v>
      </c>
      <c r="AY42" s="98">
        <f t="shared" si="22"/>
        <v>247.5</v>
      </c>
      <c r="AZ42" s="98">
        <f t="shared" si="23"/>
        <v>439.5</v>
      </c>
      <c r="BA42" s="98">
        <f t="shared" si="24"/>
        <v>666.5</v>
      </c>
      <c r="BB42" s="98">
        <f t="shared" si="25"/>
        <v>928.5</v>
      </c>
      <c r="BC42" s="98">
        <f t="shared" si="26"/>
        <v>1225.5</v>
      </c>
      <c r="BD42" s="98">
        <f t="shared" si="27"/>
        <v>1556.5</v>
      </c>
      <c r="BE42" s="98">
        <f t="shared" si="28"/>
        <v>1923.5</v>
      </c>
      <c r="BF42" s="99">
        <f t="shared" si="29"/>
        <v>2538.5</v>
      </c>
    </row>
    <row r="43" spans="1:58" ht="18">
      <c r="A43" s="13" t="s">
        <v>50</v>
      </c>
      <c r="B43" s="3" t="s">
        <v>55</v>
      </c>
      <c r="C43" s="4"/>
      <c r="D43" s="10">
        <v>1400</v>
      </c>
      <c r="E43" s="8"/>
      <c r="G43" s="2"/>
      <c r="I43"/>
      <c r="J43" s="55">
        <v>185</v>
      </c>
      <c r="K43" s="56">
        <v>128</v>
      </c>
      <c r="L43" s="56">
        <v>153</v>
      </c>
      <c r="M43" s="56">
        <v>179</v>
      </c>
      <c r="N43" s="56">
        <v>208</v>
      </c>
      <c r="O43" s="56">
        <v>272</v>
      </c>
      <c r="P43" s="56">
        <v>425</v>
      </c>
      <c r="Q43" s="56">
        <v>611</v>
      </c>
      <c r="R43" s="56">
        <v>832</v>
      </c>
      <c r="S43" s="56">
        <v>1087</v>
      </c>
      <c r="T43" s="56">
        <v>1376</v>
      </c>
      <c r="U43" s="56">
        <v>1698</v>
      </c>
      <c r="V43" s="56">
        <v>2055</v>
      </c>
      <c r="W43" s="56">
        <v>2653</v>
      </c>
      <c r="X43" s="57">
        <v>185</v>
      </c>
      <c r="Y43" s="19">
        <v>115</v>
      </c>
      <c r="Z43" s="19">
        <f>HLOOKUP($AH$15,$K$18:$W$52,12,FALSE)</f>
        <v>207</v>
      </c>
      <c r="AA43" s="87" t="str">
        <f t="shared" si="2"/>
        <v> </v>
      </c>
      <c r="AB43" s="88" t="str">
        <f t="shared" si="3"/>
        <v> </v>
      </c>
      <c r="AC43" s="88" t="str">
        <f t="shared" si="4"/>
        <v> </v>
      </c>
      <c r="AD43" s="88">
        <f t="shared" si="5"/>
        <v>19.5</v>
      </c>
      <c r="AE43" s="88">
        <f t="shared" si="6"/>
        <v>83.5</v>
      </c>
      <c r="AF43" s="88">
        <f t="shared" si="7"/>
        <v>236.5</v>
      </c>
      <c r="AG43" s="88">
        <f t="shared" si="8"/>
        <v>422.5</v>
      </c>
      <c r="AH43" s="88">
        <f t="shared" si="9"/>
        <v>643.5</v>
      </c>
      <c r="AI43" s="88">
        <f t="shared" si="10"/>
        <v>898.5</v>
      </c>
      <c r="AJ43" s="88">
        <f t="shared" si="11"/>
        <v>1187.5</v>
      </c>
      <c r="AK43" s="88">
        <f t="shared" si="12"/>
        <v>1509.5</v>
      </c>
      <c r="AL43" s="88">
        <f t="shared" si="13"/>
        <v>1866.5</v>
      </c>
      <c r="AM43" s="89">
        <f t="shared" si="14"/>
        <v>2464.5</v>
      </c>
      <c r="AN43" s="168"/>
      <c r="AO43" s="105">
        <f t="shared" si="30"/>
        <v>128</v>
      </c>
      <c r="AP43" s="107">
        <f t="shared" si="15"/>
        <v>128</v>
      </c>
      <c r="AQ43" s="106">
        <f t="shared" si="16"/>
        <v>272</v>
      </c>
      <c r="AR43" s="79">
        <v>115</v>
      </c>
      <c r="AS43" s="79">
        <f>HLOOKUP($AH$15,$K$18:$W$52,12,FALSE)</f>
        <v>207</v>
      </c>
      <c r="AT43" s="97" t="str">
        <f t="shared" si="17"/>
        <v> </v>
      </c>
      <c r="AU43" s="98" t="str">
        <f t="shared" si="18"/>
        <v> </v>
      </c>
      <c r="AV43" s="98" t="str">
        <f t="shared" si="19"/>
        <v> </v>
      </c>
      <c r="AW43" s="98">
        <f t="shared" si="20"/>
        <v>19.5</v>
      </c>
      <c r="AX43" s="98">
        <f t="shared" si="21"/>
        <v>83.5</v>
      </c>
      <c r="AY43" s="98">
        <f t="shared" si="22"/>
        <v>236.5</v>
      </c>
      <c r="AZ43" s="98">
        <f t="shared" si="23"/>
        <v>422.5</v>
      </c>
      <c r="BA43" s="98">
        <f t="shared" si="24"/>
        <v>643.5</v>
      </c>
      <c r="BB43" s="98">
        <f t="shared" si="25"/>
        <v>898.5</v>
      </c>
      <c r="BC43" s="98">
        <f t="shared" si="26"/>
        <v>1187.5</v>
      </c>
      <c r="BD43" s="98">
        <f t="shared" si="27"/>
        <v>1509.5</v>
      </c>
      <c r="BE43" s="98">
        <f t="shared" si="28"/>
        <v>1866.5</v>
      </c>
      <c r="BF43" s="99">
        <f t="shared" si="29"/>
        <v>2464.5</v>
      </c>
    </row>
    <row r="44" spans="1:58" ht="28.5">
      <c r="A44" s="13" t="s">
        <v>50</v>
      </c>
      <c r="B44" s="3" t="s">
        <v>56</v>
      </c>
      <c r="C44" s="4"/>
      <c r="D44" s="10">
        <v>1650</v>
      </c>
      <c r="E44" s="8"/>
      <c r="G44" s="2"/>
      <c r="I44"/>
      <c r="J44" s="55">
        <v>190</v>
      </c>
      <c r="K44" s="56">
        <v>125</v>
      </c>
      <c r="L44" s="56">
        <v>149</v>
      </c>
      <c r="M44" s="56">
        <v>175</v>
      </c>
      <c r="N44" s="56">
        <v>203</v>
      </c>
      <c r="O44" s="56">
        <v>265</v>
      </c>
      <c r="P44" s="56">
        <v>413</v>
      </c>
      <c r="Q44" s="56">
        <v>595</v>
      </c>
      <c r="R44" s="56">
        <v>810</v>
      </c>
      <c r="S44" s="56">
        <v>1058</v>
      </c>
      <c r="T44" s="56">
        <v>1339</v>
      </c>
      <c r="U44" s="56">
        <v>1653</v>
      </c>
      <c r="V44" s="56">
        <v>2001</v>
      </c>
      <c r="W44" s="56">
        <v>2584</v>
      </c>
      <c r="X44" s="57">
        <v>190</v>
      </c>
      <c r="Y44" s="19">
        <v>110</v>
      </c>
      <c r="Z44" s="19">
        <f>HLOOKUP($AH$15,$K$18:$W$52,11,FALSE)</f>
        <v>216</v>
      </c>
      <c r="AA44" s="87" t="str">
        <f t="shared" si="2"/>
        <v> </v>
      </c>
      <c r="AB44" s="88" t="str">
        <f t="shared" si="3"/>
        <v> </v>
      </c>
      <c r="AC44" s="88" t="str">
        <f t="shared" si="4"/>
        <v> </v>
      </c>
      <c r="AD44" s="88">
        <f t="shared" si="5"/>
        <v>14.5</v>
      </c>
      <c r="AE44" s="88">
        <f t="shared" si="6"/>
        <v>76.5</v>
      </c>
      <c r="AF44" s="88">
        <f t="shared" si="7"/>
        <v>224.5</v>
      </c>
      <c r="AG44" s="88">
        <f t="shared" si="8"/>
        <v>406.5</v>
      </c>
      <c r="AH44" s="88">
        <f t="shared" si="9"/>
        <v>621.5</v>
      </c>
      <c r="AI44" s="88">
        <f t="shared" si="10"/>
        <v>869.5</v>
      </c>
      <c r="AJ44" s="88">
        <f t="shared" si="11"/>
        <v>1150.5</v>
      </c>
      <c r="AK44" s="88">
        <f t="shared" si="12"/>
        <v>1464.5</v>
      </c>
      <c r="AL44" s="88">
        <f t="shared" si="13"/>
        <v>1812.5</v>
      </c>
      <c r="AM44" s="89">
        <f t="shared" si="14"/>
        <v>2395.5</v>
      </c>
      <c r="AN44" s="168"/>
      <c r="AO44" s="105">
        <f t="shared" si="30"/>
        <v>125</v>
      </c>
      <c r="AP44" s="107">
        <f t="shared" si="15"/>
        <v>125</v>
      </c>
      <c r="AQ44" s="106">
        <f t="shared" si="16"/>
        <v>265</v>
      </c>
      <c r="AR44" s="79">
        <v>110</v>
      </c>
      <c r="AS44" s="79">
        <f>HLOOKUP($AH$15,$K$18:$W$52,11,FALSE)</f>
        <v>216</v>
      </c>
      <c r="AT44" s="97" t="str">
        <f t="shared" si="17"/>
        <v> </v>
      </c>
      <c r="AU44" s="98" t="str">
        <f t="shared" si="18"/>
        <v> </v>
      </c>
      <c r="AV44" s="98" t="str">
        <f t="shared" si="19"/>
        <v> </v>
      </c>
      <c r="AW44" s="98">
        <f t="shared" si="20"/>
        <v>14.5</v>
      </c>
      <c r="AX44" s="98">
        <f t="shared" si="21"/>
        <v>76.5</v>
      </c>
      <c r="AY44" s="98">
        <f t="shared" si="22"/>
        <v>224.5</v>
      </c>
      <c r="AZ44" s="98">
        <f t="shared" si="23"/>
        <v>406.5</v>
      </c>
      <c r="BA44" s="98">
        <f t="shared" si="24"/>
        <v>621.5</v>
      </c>
      <c r="BB44" s="98">
        <f t="shared" si="25"/>
        <v>869.5</v>
      </c>
      <c r="BC44" s="98">
        <f t="shared" si="26"/>
        <v>1150.5</v>
      </c>
      <c r="BD44" s="98">
        <f t="shared" si="27"/>
        <v>1464.5</v>
      </c>
      <c r="BE44" s="98">
        <f t="shared" si="28"/>
        <v>1812.5</v>
      </c>
      <c r="BF44" s="99">
        <f t="shared" si="29"/>
        <v>2395.5</v>
      </c>
    </row>
    <row r="45" spans="1:58" ht="18">
      <c r="A45" s="13" t="s">
        <v>78</v>
      </c>
      <c r="B45" s="3" t="s">
        <v>57</v>
      </c>
      <c r="C45" s="4"/>
      <c r="D45" s="10">
        <v>850</v>
      </c>
      <c r="E45" s="8"/>
      <c r="G45" s="2"/>
      <c r="I45"/>
      <c r="J45" s="55">
        <v>195</v>
      </c>
      <c r="K45" s="56">
        <v>122</v>
      </c>
      <c r="L45" s="56">
        <v>145</v>
      </c>
      <c r="M45" s="56">
        <v>170</v>
      </c>
      <c r="N45" s="56">
        <v>197</v>
      </c>
      <c r="O45" s="56">
        <v>258</v>
      </c>
      <c r="P45" s="56">
        <v>403</v>
      </c>
      <c r="Q45" s="56">
        <v>580</v>
      </c>
      <c r="R45" s="56">
        <v>789</v>
      </c>
      <c r="S45" s="56">
        <v>1031</v>
      </c>
      <c r="T45" s="56">
        <v>1305</v>
      </c>
      <c r="U45" s="56">
        <v>1611</v>
      </c>
      <c r="V45" s="56">
        <v>1949</v>
      </c>
      <c r="W45" s="56">
        <v>2517</v>
      </c>
      <c r="X45" s="57">
        <v>195</v>
      </c>
      <c r="Y45" s="19">
        <v>105</v>
      </c>
      <c r="Z45" s="19">
        <f>HLOOKUP($AH$15,$K$18:$W$52,10,FALSE)</f>
        <v>226</v>
      </c>
      <c r="AA45" s="87" t="str">
        <f t="shared" si="2"/>
        <v> </v>
      </c>
      <c r="AB45" s="88" t="str">
        <f t="shared" si="3"/>
        <v> </v>
      </c>
      <c r="AC45" s="88" t="str">
        <f t="shared" si="4"/>
        <v> </v>
      </c>
      <c r="AD45" s="88">
        <f t="shared" si="5"/>
        <v>8.5</v>
      </c>
      <c r="AE45" s="88">
        <f t="shared" si="6"/>
        <v>69.5</v>
      </c>
      <c r="AF45" s="88">
        <f t="shared" si="7"/>
        <v>214.5</v>
      </c>
      <c r="AG45" s="88">
        <f t="shared" si="8"/>
        <v>391.5</v>
      </c>
      <c r="AH45" s="88">
        <f t="shared" si="9"/>
        <v>600.5</v>
      </c>
      <c r="AI45" s="88">
        <f t="shared" si="10"/>
        <v>842.5</v>
      </c>
      <c r="AJ45" s="88">
        <f t="shared" si="11"/>
        <v>1116.5</v>
      </c>
      <c r="AK45" s="88">
        <f t="shared" si="12"/>
        <v>1422.5</v>
      </c>
      <c r="AL45" s="88">
        <f t="shared" si="13"/>
        <v>1760.5</v>
      </c>
      <c r="AM45" s="89">
        <f t="shared" si="14"/>
        <v>2328.5</v>
      </c>
      <c r="AN45" s="168"/>
      <c r="AO45" s="105">
        <f t="shared" si="30"/>
        <v>122</v>
      </c>
      <c r="AP45" s="107">
        <f t="shared" si="15"/>
        <v>122</v>
      </c>
      <c r="AQ45" s="106">
        <f t="shared" si="16"/>
        <v>258</v>
      </c>
      <c r="AR45" s="79">
        <v>105</v>
      </c>
      <c r="AS45" s="79">
        <f>HLOOKUP($AH$15,$K$18:$W$52,10,FALSE)</f>
        <v>226</v>
      </c>
      <c r="AT45" s="97" t="str">
        <f t="shared" si="17"/>
        <v> </v>
      </c>
      <c r="AU45" s="98" t="str">
        <f t="shared" si="18"/>
        <v> </v>
      </c>
      <c r="AV45" s="98" t="str">
        <f t="shared" si="19"/>
        <v> </v>
      </c>
      <c r="AW45" s="98">
        <f t="shared" si="20"/>
        <v>8.5</v>
      </c>
      <c r="AX45" s="98">
        <f t="shared" si="21"/>
        <v>69.5</v>
      </c>
      <c r="AY45" s="98">
        <f t="shared" si="22"/>
        <v>214.5</v>
      </c>
      <c r="AZ45" s="98">
        <f t="shared" si="23"/>
        <v>391.5</v>
      </c>
      <c r="BA45" s="98">
        <f t="shared" si="24"/>
        <v>600.5</v>
      </c>
      <c r="BB45" s="98">
        <f t="shared" si="25"/>
        <v>842.5</v>
      </c>
      <c r="BC45" s="98">
        <f t="shared" si="26"/>
        <v>1116.5</v>
      </c>
      <c r="BD45" s="98">
        <f t="shared" si="27"/>
        <v>1422.5</v>
      </c>
      <c r="BE45" s="98">
        <f t="shared" si="28"/>
        <v>1760.5</v>
      </c>
      <c r="BF45" s="99">
        <f t="shared" si="29"/>
        <v>2328.5</v>
      </c>
    </row>
    <row r="46" spans="1:58" ht="18">
      <c r="A46" s="13" t="s">
        <v>78</v>
      </c>
      <c r="B46" s="3" t="s">
        <v>58</v>
      </c>
      <c r="C46" s="4"/>
      <c r="D46" s="10">
        <v>1250</v>
      </c>
      <c r="E46" s="8"/>
      <c r="G46" s="2"/>
      <c r="I46"/>
      <c r="J46" s="55">
        <v>200</v>
      </c>
      <c r="K46" s="56">
        <v>119</v>
      </c>
      <c r="L46" s="56">
        <v>141</v>
      </c>
      <c r="M46" s="56">
        <v>166</v>
      </c>
      <c r="N46" s="56">
        <v>192</v>
      </c>
      <c r="O46" s="56">
        <v>251</v>
      </c>
      <c r="P46" s="56">
        <v>393</v>
      </c>
      <c r="Q46" s="56">
        <v>565</v>
      </c>
      <c r="R46" s="56">
        <v>770</v>
      </c>
      <c r="S46" s="56">
        <v>1005</v>
      </c>
      <c r="T46" s="56">
        <v>1272</v>
      </c>
      <c r="U46" s="56">
        <v>1571</v>
      </c>
      <c r="V46" s="56">
        <v>1901</v>
      </c>
      <c r="W46" s="56">
        <v>2454</v>
      </c>
      <c r="X46" s="57">
        <v>200</v>
      </c>
      <c r="Y46" s="19">
        <v>100</v>
      </c>
      <c r="Z46" s="19">
        <f>HLOOKUP($AH$15,$K$18:$W$52,9,FALSE)</f>
        <v>238</v>
      </c>
      <c r="AA46" s="87" t="str">
        <f t="shared" si="2"/>
        <v> </v>
      </c>
      <c r="AB46" s="88" t="str">
        <f t="shared" si="3"/>
        <v> </v>
      </c>
      <c r="AC46" s="88" t="str">
        <f t="shared" si="4"/>
        <v> </v>
      </c>
      <c r="AD46" s="88">
        <f t="shared" si="5"/>
        <v>3.5</v>
      </c>
      <c r="AE46" s="88">
        <f t="shared" si="6"/>
        <v>62.5</v>
      </c>
      <c r="AF46" s="88">
        <f t="shared" si="7"/>
        <v>204.5</v>
      </c>
      <c r="AG46" s="88">
        <f t="shared" si="8"/>
        <v>376.5</v>
      </c>
      <c r="AH46" s="88">
        <f t="shared" si="9"/>
        <v>581.5</v>
      </c>
      <c r="AI46" s="88">
        <f t="shared" si="10"/>
        <v>816.5</v>
      </c>
      <c r="AJ46" s="88">
        <f t="shared" si="11"/>
        <v>1083.5</v>
      </c>
      <c r="AK46" s="88">
        <f t="shared" si="12"/>
        <v>1382.5</v>
      </c>
      <c r="AL46" s="88">
        <f t="shared" si="13"/>
        <v>1712.5</v>
      </c>
      <c r="AM46" s="89">
        <f t="shared" si="14"/>
        <v>2265.5</v>
      </c>
      <c r="AN46" s="168"/>
      <c r="AO46" s="105">
        <f t="shared" si="30"/>
        <v>119</v>
      </c>
      <c r="AP46" s="107">
        <f t="shared" si="15"/>
        <v>119</v>
      </c>
      <c r="AQ46" s="106">
        <f t="shared" si="16"/>
        <v>251</v>
      </c>
      <c r="AR46" s="79">
        <v>100</v>
      </c>
      <c r="AS46" s="79">
        <f>HLOOKUP($AH$15,$K$18:$W$52,9,FALSE)</f>
        <v>238</v>
      </c>
      <c r="AT46" s="97" t="str">
        <f t="shared" si="17"/>
        <v> </v>
      </c>
      <c r="AU46" s="98" t="str">
        <f t="shared" si="18"/>
        <v> </v>
      </c>
      <c r="AV46" s="98" t="str">
        <f t="shared" si="19"/>
        <v> </v>
      </c>
      <c r="AW46" s="98">
        <f t="shared" si="20"/>
        <v>3.5</v>
      </c>
      <c r="AX46" s="98">
        <f t="shared" si="21"/>
        <v>62.5</v>
      </c>
      <c r="AY46" s="98">
        <f t="shared" si="22"/>
        <v>204.5</v>
      </c>
      <c r="AZ46" s="98">
        <f t="shared" si="23"/>
        <v>376.5</v>
      </c>
      <c r="BA46" s="98">
        <f t="shared" si="24"/>
        <v>581.5</v>
      </c>
      <c r="BB46" s="98">
        <f t="shared" si="25"/>
        <v>816.5</v>
      </c>
      <c r="BC46" s="98">
        <f t="shared" si="26"/>
        <v>1083.5</v>
      </c>
      <c r="BD46" s="98">
        <f t="shared" si="27"/>
        <v>1382.5</v>
      </c>
      <c r="BE46" s="98">
        <f t="shared" si="28"/>
        <v>1712.5</v>
      </c>
      <c r="BF46" s="99">
        <f t="shared" si="29"/>
        <v>2265.5</v>
      </c>
    </row>
    <row r="47" spans="1:58" ht="18">
      <c r="A47" s="13" t="s">
        <v>78</v>
      </c>
      <c r="B47" s="3" t="s">
        <v>59</v>
      </c>
      <c r="C47" s="4"/>
      <c r="D47" s="10">
        <v>950</v>
      </c>
      <c r="E47" s="8"/>
      <c r="G47" s="2"/>
      <c r="I47"/>
      <c r="J47" s="55">
        <v>210</v>
      </c>
      <c r="K47" s="56">
        <v>113</v>
      </c>
      <c r="L47" s="56">
        <v>135</v>
      </c>
      <c r="M47" s="56">
        <v>158</v>
      </c>
      <c r="N47" s="56">
        <v>183</v>
      </c>
      <c r="O47" s="56">
        <v>239</v>
      </c>
      <c r="P47" s="56">
        <v>374</v>
      </c>
      <c r="Q47" s="56">
        <v>539</v>
      </c>
      <c r="R47" s="56">
        <v>733</v>
      </c>
      <c r="S47" s="56">
        <v>957</v>
      </c>
      <c r="T47" s="56">
        <v>1212</v>
      </c>
      <c r="U47" s="56">
        <v>1496</v>
      </c>
      <c r="V47" s="56">
        <v>1810</v>
      </c>
      <c r="W47" s="56">
        <v>2337</v>
      </c>
      <c r="X47" s="57">
        <v>210</v>
      </c>
      <c r="Y47" s="19">
        <v>95</v>
      </c>
      <c r="Z47" s="19">
        <f>HLOOKUP($AH$15,$K$18:$W$52,8,FALSE)</f>
        <v>250</v>
      </c>
      <c r="AA47" s="87" t="str">
        <f t="shared" si="2"/>
        <v> </v>
      </c>
      <c r="AB47" s="88" t="str">
        <f t="shared" si="3"/>
        <v> </v>
      </c>
      <c r="AC47" s="88" t="str">
        <f t="shared" si="4"/>
        <v> </v>
      </c>
      <c r="AD47" s="88" t="str">
        <f t="shared" si="5"/>
        <v> </v>
      </c>
      <c r="AE47" s="88">
        <f t="shared" si="6"/>
        <v>50.5</v>
      </c>
      <c r="AF47" s="88">
        <f t="shared" si="7"/>
        <v>185.5</v>
      </c>
      <c r="AG47" s="88">
        <f t="shared" si="8"/>
        <v>350.5</v>
      </c>
      <c r="AH47" s="88">
        <f t="shared" si="9"/>
        <v>544.5</v>
      </c>
      <c r="AI47" s="88">
        <f t="shared" si="10"/>
        <v>768.5</v>
      </c>
      <c r="AJ47" s="88">
        <f t="shared" si="11"/>
        <v>1023.5</v>
      </c>
      <c r="AK47" s="88">
        <f t="shared" si="12"/>
        <v>1307.5</v>
      </c>
      <c r="AL47" s="88">
        <f t="shared" si="13"/>
        <v>1621.5</v>
      </c>
      <c r="AM47" s="89">
        <f t="shared" si="14"/>
        <v>2148.5</v>
      </c>
      <c r="AN47" s="168"/>
      <c r="AO47" s="105">
        <f t="shared" si="30"/>
        <v>113</v>
      </c>
      <c r="AP47" s="107">
        <f t="shared" si="15"/>
        <v>113</v>
      </c>
      <c r="AQ47" s="106">
        <f t="shared" si="16"/>
        <v>239</v>
      </c>
      <c r="AR47" s="79">
        <v>95</v>
      </c>
      <c r="AS47" s="79">
        <f>HLOOKUP($AH$15,$K$18:$W$52,8,FALSE)</f>
        <v>250</v>
      </c>
      <c r="AT47" s="97" t="str">
        <f t="shared" si="17"/>
        <v> </v>
      </c>
      <c r="AU47" s="98" t="str">
        <f t="shared" si="18"/>
        <v> </v>
      </c>
      <c r="AV47" s="98" t="str">
        <f t="shared" si="19"/>
        <v> </v>
      </c>
      <c r="AW47" s="98" t="str">
        <f t="shared" si="20"/>
        <v> </v>
      </c>
      <c r="AX47" s="98">
        <f t="shared" si="21"/>
        <v>50.5</v>
      </c>
      <c r="AY47" s="98">
        <f t="shared" si="22"/>
        <v>185.5</v>
      </c>
      <c r="AZ47" s="98">
        <f t="shared" si="23"/>
        <v>350.5</v>
      </c>
      <c r="BA47" s="98">
        <f t="shared" si="24"/>
        <v>544.5</v>
      </c>
      <c r="BB47" s="98">
        <f t="shared" si="25"/>
        <v>768.5</v>
      </c>
      <c r="BC47" s="98">
        <f t="shared" si="26"/>
        <v>1023.5</v>
      </c>
      <c r="BD47" s="98">
        <f t="shared" si="27"/>
        <v>1307.5</v>
      </c>
      <c r="BE47" s="98">
        <f t="shared" si="28"/>
        <v>1621.5</v>
      </c>
      <c r="BF47" s="99">
        <f t="shared" si="29"/>
        <v>2148.5</v>
      </c>
    </row>
    <row r="48" spans="1:58" ht="18">
      <c r="A48" s="13" t="s">
        <v>78</v>
      </c>
      <c r="B48" s="3" t="s">
        <v>60</v>
      </c>
      <c r="C48" s="4"/>
      <c r="D48" s="10">
        <v>550</v>
      </c>
      <c r="E48" s="8"/>
      <c r="G48" s="2"/>
      <c r="I48"/>
      <c r="J48" s="55">
        <v>220</v>
      </c>
      <c r="K48" s="56">
        <v>108</v>
      </c>
      <c r="L48" s="56">
        <v>129</v>
      </c>
      <c r="M48" s="56">
        <v>151</v>
      </c>
      <c r="N48" s="56">
        <v>175</v>
      </c>
      <c r="O48" s="56">
        <v>228</v>
      </c>
      <c r="P48" s="56">
        <v>357</v>
      </c>
      <c r="Q48" s="56">
        <v>514</v>
      </c>
      <c r="R48" s="56">
        <v>700</v>
      </c>
      <c r="S48" s="56">
        <v>914</v>
      </c>
      <c r="T48" s="56">
        <v>1157</v>
      </c>
      <c r="U48" s="56">
        <v>1428</v>
      </c>
      <c r="V48" s="56">
        <v>1728</v>
      </c>
      <c r="W48" s="56">
        <v>2231</v>
      </c>
      <c r="X48" s="57">
        <v>220</v>
      </c>
      <c r="Y48" s="19">
        <v>90</v>
      </c>
      <c r="Z48" s="19">
        <f>HLOOKUP($AH$15,$K$18:$W$52,7,FALSE)</f>
        <v>264</v>
      </c>
      <c r="AA48" s="87" t="str">
        <f t="shared" si="2"/>
        <v> </v>
      </c>
      <c r="AB48" s="88" t="str">
        <f t="shared" si="3"/>
        <v> </v>
      </c>
      <c r="AC48" s="88" t="str">
        <f t="shared" si="4"/>
        <v> </v>
      </c>
      <c r="AD48" s="88" t="str">
        <f t="shared" si="5"/>
        <v> </v>
      </c>
      <c r="AE48" s="88">
        <f t="shared" si="6"/>
        <v>39.5</v>
      </c>
      <c r="AF48" s="88">
        <f t="shared" si="7"/>
        <v>168.5</v>
      </c>
      <c r="AG48" s="88">
        <f t="shared" si="8"/>
        <v>325.5</v>
      </c>
      <c r="AH48" s="88">
        <f t="shared" si="9"/>
        <v>511.5</v>
      </c>
      <c r="AI48" s="88">
        <f t="shared" si="10"/>
        <v>725.5</v>
      </c>
      <c r="AJ48" s="88">
        <f t="shared" si="11"/>
        <v>968.5</v>
      </c>
      <c r="AK48" s="88">
        <f t="shared" si="12"/>
        <v>1239.5</v>
      </c>
      <c r="AL48" s="88">
        <f t="shared" si="13"/>
        <v>1539.5</v>
      </c>
      <c r="AM48" s="89">
        <f t="shared" si="14"/>
        <v>2042.5</v>
      </c>
      <c r="AN48" s="168"/>
      <c r="AO48" s="105">
        <f t="shared" si="30"/>
        <v>108</v>
      </c>
      <c r="AP48" s="107">
        <f t="shared" si="15"/>
        <v>108</v>
      </c>
      <c r="AQ48" s="106">
        <f t="shared" si="16"/>
        <v>228</v>
      </c>
      <c r="AR48" s="79">
        <v>90</v>
      </c>
      <c r="AS48" s="79">
        <f>HLOOKUP($AH$15,$K$18:$W$52,7,FALSE)</f>
        <v>264</v>
      </c>
      <c r="AT48" s="97" t="str">
        <f t="shared" si="17"/>
        <v> </v>
      </c>
      <c r="AU48" s="98" t="str">
        <f t="shared" si="18"/>
        <v> </v>
      </c>
      <c r="AV48" s="98" t="str">
        <f t="shared" si="19"/>
        <v> </v>
      </c>
      <c r="AW48" s="98" t="str">
        <f t="shared" si="20"/>
        <v> </v>
      </c>
      <c r="AX48" s="98">
        <f t="shared" si="21"/>
        <v>39.5</v>
      </c>
      <c r="AY48" s="98">
        <f t="shared" si="22"/>
        <v>168.5</v>
      </c>
      <c r="AZ48" s="98">
        <f t="shared" si="23"/>
        <v>325.5</v>
      </c>
      <c r="BA48" s="98">
        <f t="shared" si="24"/>
        <v>511.5</v>
      </c>
      <c r="BB48" s="98">
        <f t="shared" si="25"/>
        <v>725.5</v>
      </c>
      <c r="BC48" s="98">
        <f t="shared" si="26"/>
        <v>968.5</v>
      </c>
      <c r="BD48" s="98">
        <f t="shared" si="27"/>
        <v>1239.5</v>
      </c>
      <c r="BE48" s="98">
        <f t="shared" si="28"/>
        <v>1539.5</v>
      </c>
      <c r="BF48" s="99">
        <f t="shared" si="29"/>
        <v>2042.5</v>
      </c>
    </row>
    <row r="49" spans="1:58" ht="18">
      <c r="A49" s="13" t="s">
        <v>78</v>
      </c>
      <c r="B49" s="3" t="s">
        <v>61</v>
      </c>
      <c r="C49" s="4"/>
      <c r="D49" s="10">
        <v>150</v>
      </c>
      <c r="E49" s="8"/>
      <c r="G49" s="2"/>
      <c r="I49"/>
      <c r="J49" s="55">
        <v>230</v>
      </c>
      <c r="K49" s="56">
        <v>103</v>
      </c>
      <c r="L49" s="56">
        <v>123</v>
      </c>
      <c r="M49" s="56">
        <v>144</v>
      </c>
      <c r="N49" s="56">
        <v>167</v>
      </c>
      <c r="O49" s="56">
        <v>219</v>
      </c>
      <c r="P49" s="56">
        <v>341</v>
      </c>
      <c r="Q49" s="56">
        <v>492</v>
      </c>
      <c r="R49" s="56">
        <v>669</v>
      </c>
      <c r="S49" s="56">
        <v>874</v>
      </c>
      <c r="T49" s="56">
        <v>1106</v>
      </c>
      <c r="U49" s="56">
        <v>1366</v>
      </c>
      <c r="V49" s="56">
        <v>1653</v>
      </c>
      <c r="W49" s="56">
        <v>2134</v>
      </c>
      <c r="X49" s="57">
        <v>230</v>
      </c>
      <c r="Y49" s="19">
        <v>85</v>
      </c>
      <c r="Z49" s="19">
        <f>HLOOKUP($AH$15,$K$18:$W$52,6,FALSE)</f>
        <v>280</v>
      </c>
      <c r="AA49" s="87" t="str">
        <f t="shared" si="2"/>
        <v> </v>
      </c>
      <c r="AB49" s="88" t="str">
        <f t="shared" si="3"/>
        <v> </v>
      </c>
      <c r="AC49" s="88" t="str">
        <f t="shared" si="4"/>
        <v> </v>
      </c>
      <c r="AD49" s="88" t="str">
        <f t="shared" si="5"/>
        <v> </v>
      </c>
      <c r="AE49" s="88">
        <f t="shared" si="6"/>
        <v>30.5</v>
      </c>
      <c r="AF49" s="88">
        <f t="shared" si="7"/>
        <v>152.5</v>
      </c>
      <c r="AG49" s="88">
        <f t="shared" si="8"/>
        <v>303.5</v>
      </c>
      <c r="AH49" s="88">
        <f t="shared" si="9"/>
        <v>480.5</v>
      </c>
      <c r="AI49" s="88">
        <f t="shared" si="10"/>
        <v>685.5</v>
      </c>
      <c r="AJ49" s="88">
        <f t="shared" si="11"/>
        <v>917.5</v>
      </c>
      <c r="AK49" s="88">
        <f t="shared" si="12"/>
        <v>1177.5</v>
      </c>
      <c r="AL49" s="88">
        <f t="shared" si="13"/>
        <v>1464.5</v>
      </c>
      <c r="AM49" s="89">
        <f t="shared" si="14"/>
        <v>1945.5</v>
      </c>
      <c r="AN49" s="168"/>
      <c r="AO49" s="105">
        <f t="shared" si="30"/>
        <v>103</v>
      </c>
      <c r="AP49" s="107">
        <f t="shared" si="15"/>
        <v>103</v>
      </c>
      <c r="AQ49" s="106">
        <f t="shared" si="16"/>
        <v>219</v>
      </c>
      <c r="AR49" s="79">
        <v>85</v>
      </c>
      <c r="AS49" s="79">
        <f>HLOOKUP($AH$15,$K$18:$W$52,6,FALSE)</f>
        <v>280</v>
      </c>
      <c r="AT49" s="97" t="str">
        <f t="shared" si="17"/>
        <v> </v>
      </c>
      <c r="AU49" s="98" t="str">
        <f t="shared" si="18"/>
        <v> </v>
      </c>
      <c r="AV49" s="98" t="str">
        <f t="shared" si="19"/>
        <v> </v>
      </c>
      <c r="AW49" s="98" t="str">
        <f t="shared" si="20"/>
        <v> </v>
      </c>
      <c r="AX49" s="98">
        <f t="shared" si="21"/>
        <v>30.5</v>
      </c>
      <c r="AY49" s="98">
        <f t="shared" si="22"/>
        <v>152.5</v>
      </c>
      <c r="AZ49" s="98">
        <f t="shared" si="23"/>
        <v>303.5</v>
      </c>
      <c r="BA49" s="98">
        <f t="shared" si="24"/>
        <v>480.5</v>
      </c>
      <c r="BB49" s="98">
        <f t="shared" si="25"/>
        <v>685.5</v>
      </c>
      <c r="BC49" s="98">
        <f t="shared" si="26"/>
        <v>917.5</v>
      </c>
      <c r="BD49" s="98">
        <f t="shared" si="27"/>
        <v>1177.5</v>
      </c>
      <c r="BE49" s="98">
        <f t="shared" si="28"/>
        <v>1464.5</v>
      </c>
      <c r="BF49" s="99">
        <f t="shared" si="29"/>
        <v>1945.5</v>
      </c>
    </row>
    <row r="50" spans="1:58" ht="18">
      <c r="A50" s="13" t="s">
        <v>78</v>
      </c>
      <c r="B50" s="3" t="s">
        <v>62</v>
      </c>
      <c r="C50" s="4"/>
      <c r="D50" s="10">
        <v>900</v>
      </c>
      <c r="E50" s="8"/>
      <c r="G50" s="2"/>
      <c r="I50"/>
      <c r="J50" s="55">
        <v>240</v>
      </c>
      <c r="K50" s="56">
        <v>99</v>
      </c>
      <c r="L50" s="56">
        <v>118</v>
      </c>
      <c r="M50" s="56">
        <v>138</v>
      </c>
      <c r="N50" s="56">
        <v>160</v>
      </c>
      <c r="O50" s="56">
        <v>209</v>
      </c>
      <c r="P50" s="56">
        <v>327</v>
      </c>
      <c r="Q50" s="56">
        <v>471</v>
      </c>
      <c r="R50" s="56">
        <v>641</v>
      </c>
      <c r="S50" s="56">
        <v>838</v>
      </c>
      <c r="T50" s="56">
        <v>1060</v>
      </c>
      <c r="U50" s="56">
        <v>1309</v>
      </c>
      <c r="V50" s="56">
        <v>1584</v>
      </c>
      <c r="W50" s="56">
        <v>2045</v>
      </c>
      <c r="X50" s="57">
        <v>240</v>
      </c>
      <c r="Y50" s="19">
        <v>80</v>
      </c>
      <c r="Z50" s="19">
        <f>HLOOKUP($AH$15,$K$18:$W$52,5,FALSE)</f>
        <v>297</v>
      </c>
      <c r="AA50" s="87" t="str">
        <f t="shared" si="2"/>
        <v> </v>
      </c>
      <c r="AB50" s="88" t="str">
        <f t="shared" si="3"/>
        <v> </v>
      </c>
      <c r="AC50" s="88" t="str">
        <f t="shared" si="4"/>
        <v> </v>
      </c>
      <c r="AD50" s="88" t="str">
        <f t="shared" si="5"/>
        <v> </v>
      </c>
      <c r="AE50" s="88">
        <f t="shared" si="6"/>
        <v>20.5</v>
      </c>
      <c r="AF50" s="88">
        <f t="shared" si="7"/>
        <v>138.5</v>
      </c>
      <c r="AG50" s="88">
        <f t="shared" si="8"/>
        <v>282.5</v>
      </c>
      <c r="AH50" s="88">
        <f t="shared" si="9"/>
        <v>452.5</v>
      </c>
      <c r="AI50" s="88">
        <f t="shared" si="10"/>
        <v>649.5</v>
      </c>
      <c r="AJ50" s="88">
        <f t="shared" si="11"/>
        <v>871.5</v>
      </c>
      <c r="AK50" s="88">
        <f t="shared" si="12"/>
        <v>1120.5</v>
      </c>
      <c r="AL50" s="88">
        <f t="shared" si="13"/>
        <v>1395.5</v>
      </c>
      <c r="AM50" s="89">
        <f t="shared" si="14"/>
        <v>1856.5</v>
      </c>
      <c r="AN50" s="168"/>
      <c r="AO50" s="105">
        <f t="shared" si="30"/>
        <v>99</v>
      </c>
      <c r="AP50" s="107">
        <f t="shared" si="15"/>
        <v>99</v>
      </c>
      <c r="AQ50" s="106">
        <f t="shared" si="16"/>
        <v>209</v>
      </c>
      <c r="AR50" s="79">
        <v>80</v>
      </c>
      <c r="AS50" s="79">
        <f>HLOOKUP($AH$15,$K$18:$W$52,5,FALSE)</f>
        <v>297</v>
      </c>
      <c r="AT50" s="97" t="str">
        <f t="shared" si="17"/>
        <v> </v>
      </c>
      <c r="AU50" s="98" t="str">
        <f t="shared" si="18"/>
        <v> </v>
      </c>
      <c r="AV50" s="98" t="str">
        <f t="shared" si="19"/>
        <v> </v>
      </c>
      <c r="AW50" s="98" t="str">
        <f t="shared" si="20"/>
        <v> </v>
      </c>
      <c r="AX50" s="98">
        <f t="shared" si="21"/>
        <v>20.5</v>
      </c>
      <c r="AY50" s="98">
        <f t="shared" si="22"/>
        <v>138.5</v>
      </c>
      <c r="AZ50" s="98">
        <f t="shared" si="23"/>
        <v>282.5</v>
      </c>
      <c r="BA50" s="98">
        <f t="shared" si="24"/>
        <v>452.5</v>
      </c>
      <c r="BB50" s="98">
        <f t="shared" si="25"/>
        <v>649.5</v>
      </c>
      <c r="BC50" s="98">
        <f t="shared" si="26"/>
        <v>871.5</v>
      </c>
      <c r="BD50" s="98">
        <f t="shared" si="27"/>
        <v>1120.5</v>
      </c>
      <c r="BE50" s="98">
        <f t="shared" si="28"/>
        <v>1395.5</v>
      </c>
      <c r="BF50" s="99">
        <f t="shared" si="29"/>
        <v>1856.5</v>
      </c>
    </row>
    <row r="51" spans="1:58" ht="18">
      <c r="A51" s="13" t="s">
        <v>63</v>
      </c>
      <c r="B51" s="3" t="s">
        <v>64</v>
      </c>
      <c r="C51" s="4"/>
      <c r="D51" s="10">
        <v>2100</v>
      </c>
      <c r="E51" s="8"/>
      <c r="G51" s="2"/>
      <c r="I51"/>
      <c r="J51" s="55">
        <v>250</v>
      </c>
      <c r="K51" s="56">
        <v>95</v>
      </c>
      <c r="L51" s="56">
        <v>113</v>
      </c>
      <c r="M51" s="56">
        <v>133</v>
      </c>
      <c r="N51" s="56">
        <v>154</v>
      </c>
      <c r="O51" s="56">
        <v>201</v>
      </c>
      <c r="P51" s="56">
        <v>314</v>
      </c>
      <c r="Q51" s="56">
        <v>452</v>
      </c>
      <c r="R51" s="56">
        <v>616</v>
      </c>
      <c r="S51" s="56">
        <v>804</v>
      </c>
      <c r="T51" s="56">
        <v>1018</v>
      </c>
      <c r="U51" s="56">
        <v>1257</v>
      </c>
      <c r="V51" s="56">
        <v>1521</v>
      </c>
      <c r="W51" s="56">
        <v>1963</v>
      </c>
      <c r="X51" s="57">
        <v>250</v>
      </c>
      <c r="Y51" s="19">
        <v>75</v>
      </c>
      <c r="Z51" s="19">
        <f>HLOOKUP($AH$15,$K$18:$W$52,4,FALSE)</f>
        <v>317</v>
      </c>
      <c r="AA51" s="87" t="str">
        <f t="shared" si="2"/>
        <v> </v>
      </c>
      <c r="AB51" s="88" t="str">
        <f t="shared" si="3"/>
        <v> </v>
      </c>
      <c r="AC51" s="88" t="str">
        <f t="shared" si="4"/>
        <v> </v>
      </c>
      <c r="AD51" s="88" t="str">
        <f t="shared" si="5"/>
        <v> </v>
      </c>
      <c r="AE51" s="88">
        <f t="shared" si="6"/>
        <v>12.5</v>
      </c>
      <c r="AF51" s="88">
        <f t="shared" si="7"/>
        <v>125.5</v>
      </c>
      <c r="AG51" s="88">
        <f t="shared" si="8"/>
        <v>263.5</v>
      </c>
      <c r="AH51" s="88">
        <f t="shared" si="9"/>
        <v>427.5</v>
      </c>
      <c r="AI51" s="88">
        <f t="shared" si="10"/>
        <v>615.5</v>
      </c>
      <c r="AJ51" s="88">
        <f t="shared" si="11"/>
        <v>829.5</v>
      </c>
      <c r="AK51" s="88">
        <f t="shared" si="12"/>
        <v>1068.5</v>
      </c>
      <c r="AL51" s="88">
        <f t="shared" si="13"/>
        <v>1332.5</v>
      </c>
      <c r="AM51" s="89">
        <f t="shared" si="14"/>
        <v>1774.5</v>
      </c>
      <c r="AN51" s="168"/>
      <c r="AO51" s="105">
        <f t="shared" si="30"/>
        <v>95</v>
      </c>
      <c r="AP51" s="107">
        <f t="shared" si="15"/>
        <v>95</v>
      </c>
      <c r="AQ51" s="106">
        <f t="shared" si="16"/>
        <v>201</v>
      </c>
      <c r="AR51" s="79">
        <v>75</v>
      </c>
      <c r="AS51" s="79">
        <f>HLOOKUP($AH$15,$K$18:$W$52,4,FALSE)</f>
        <v>317</v>
      </c>
      <c r="AT51" s="97" t="str">
        <f t="shared" si="17"/>
        <v> </v>
      </c>
      <c r="AU51" s="98" t="str">
        <f t="shared" si="18"/>
        <v> </v>
      </c>
      <c r="AV51" s="98" t="str">
        <f t="shared" si="19"/>
        <v> </v>
      </c>
      <c r="AW51" s="98" t="str">
        <f t="shared" si="20"/>
        <v> </v>
      </c>
      <c r="AX51" s="98">
        <f t="shared" si="21"/>
        <v>12.5</v>
      </c>
      <c r="AY51" s="98">
        <f t="shared" si="22"/>
        <v>125.5</v>
      </c>
      <c r="AZ51" s="98">
        <f t="shared" si="23"/>
        <v>263.5</v>
      </c>
      <c r="BA51" s="98">
        <f t="shared" si="24"/>
        <v>427.5</v>
      </c>
      <c r="BB51" s="98">
        <f t="shared" si="25"/>
        <v>615.5</v>
      </c>
      <c r="BC51" s="98">
        <f t="shared" si="26"/>
        <v>829.5</v>
      </c>
      <c r="BD51" s="98">
        <f t="shared" si="27"/>
        <v>1068.5</v>
      </c>
      <c r="BE51" s="98">
        <f t="shared" si="28"/>
        <v>1332.5</v>
      </c>
      <c r="BF51" s="99">
        <f t="shared" si="29"/>
        <v>1774.5</v>
      </c>
    </row>
    <row r="52" spans="1:58" ht="18.75" thickBot="1">
      <c r="A52" s="13" t="s">
        <v>63</v>
      </c>
      <c r="B52" s="3" t="s">
        <v>65</v>
      </c>
      <c r="C52" s="4"/>
      <c r="D52" s="10">
        <v>2000</v>
      </c>
      <c r="E52" s="8"/>
      <c r="G52" s="2"/>
      <c r="I52"/>
      <c r="J52" s="58">
        <v>300</v>
      </c>
      <c r="K52" s="59">
        <v>79</v>
      </c>
      <c r="L52" s="59">
        <v>94</v>
      </c>
      <c r="M52" s="59">
        <v>111</v>
      </c>
      <c r="N52" s="59">
        <v>128</v>
      </c>
      <c r="O52" s="59">
        <v>168</v>
      </c>
      <c r="P52" s="59">
        <v>262</v>
      </c>
      <c r="Q52" s="59">
        <v>377</v>
      </c>
      <c r="R52" s="59">
        <v>513</v>
      </c>
      <c r="S52" s="59">
        <v>670</v>
      </c>
      <c r="T52" s="59">
        <v>848</v>
      </c>
      <c r="U52" s="59">
        <v>1047</v>
      </c>
      <c r="V52" s="59">
        <v>1267</v>
      </c>
      <c r="W52" s="59">
        <v>1636</v>
      </c>
      <c r="X52" s="60">
        <v>300</v>
      </c>
      <c r="Y52" s="19">
        <v>70</v>
      </c>
      <c r="Z52" s="19">
        <f>HLOOKUP($AH$15,$K$18:$W$52,3,FALSE)</f>
        <v>339</v>
      </c>
      <c r="AA52" s="90" t="str">
        <f t="shared" si="2"/>
        <v> </v>
      </c>
      <c r="AB52" s="91" t="str">
        <f t="shared" si="3"/>
        <v> </v>
      </c>
      <c r="AC52" s="91" t="str">
        <f t="shared" si="4"/>
        <v> </v>
      </c>
      <c r="AD52" s="91" t="str">
        <f t="shared" si="5"/>
        <v> </v>
      </c>
      <c r="AE52" s="91" t="str">
        <f t="shared" si="6"/>
        <v> </v>
      </c>
      <c r="AF52" s="91">
        <f t="shared" si="7"/>
        <v>73.5</v>
      </c>
      <c r="AG52" s="91">
        <f t="shared" si="8"/>
        <v>188.5</v>
      </c>
      <c r="AH52" s="91">
        <f t="shared" si="9"/>
        <v>324.5</v>
      </c>
      <c r="AI52" s="91">
        <f t="shared" si="10"/>
        <v>481.5</v>
      </c>
      <c r="AJ52" s="91">
        <f t="shared" si="11"/>
        <v>659.5</v>
      </c>
      <c r="AK52" s="91">
        <f t="shared" si="12"/>
        <v>858.5</v>
      </c>
      <c r="AL52" s="91">
        <f t="shared" si="13"/>
        <v>1078.5</v>
      </c>
      <c r="AM52" s="92">
        <f t="shared" si="14"/>
        <v>1447.5</v>
      </c>
      <c r="AN52" s="168"/>
      <c r="AO52" s="108">
        <f t="shared" si="30"/>
        <v>79</v>
      </c>
      <c r="AP52" s="109">
        <f t="shared" si="15"/>
        <v>79</v>
      </c>
      <c r="AQ52" s="106">
        <f t="shared" si="16"/>
        <v>168</v>
      </c>
      <c r="AR52" s="79">
        <v>70</v>
      </c>
      <c r="AS52" s="79">
        <f>HLOOKUP($AH$15,$K$18:$W$52,3,FALSE)</f>
        <v>339</v>
      </c>
      <c r="AT52" s="100" t="str">
        <f t="shared" si="17"/>
        <v> </v>
      </c>
      <c r="AU52" s="101" t="str">
        <f t="shared" si="18"/>
        <v> </v>
      </c>
      <c r="AV52" s="101" t="str">
        <f t="shared" si="19"/>
        <v> </v>
      </c>
      <c r="AW52" s="101" t="str">
        <f t="shared" si="20"/>
        <v> </v>
      </c>
      <c r="AX52" s="101" t="str">
        <f t="shared" si="21"/>
        <v> </v>
      </c>
      <c r="AY52" s="101">
        <f t="shared" si="22"/>
        <v>73.5</v>
      </c>
      <c r="AZ52" s="101">
        <f t="shared" si="23"/>
        <v>188.5</v>
      </c>
      <c r="BA52" s="101">
        <f t="shared" si="24"/>
        <v>324.5</v>
      </c>
      <c r="BB52" s="101">
        <f t="shared" si="25"/>
        <v>481.5</v>
      </c>
      <c r="BC52" s="101">
        <f t="shared" si="26"/>
        <v>659.5</v>
      </c>
      <c r="BD52" s="101">
        <f t="shared" si="27"/>
        <v>858.5</v>
      </c>
      <c r="BE52" s="101">
        <f t="shared" si="28"/>
        <v>1078.5</v>
      </c>
      <c r="BF52" s="102">
        <f t="shared" si="29"/>
        <v>1447.5</v>
      </c>
    </row>
    <row r="53" spans="1:58" ht="28.5">
      <c r="A53" s="13" t="s">
        <v>63</v>
      </c>
      <c r="B53" s="3" t="s">
        <v>66</v>
      </c>
      <c r="C53" s="4"/>
      <c r="D53" s="10">
        <v>1800</v>
      </c>
      <c r="E53" s="8"/>
      <c r="G53" s="2"/>
      <c r="Y53" s="79"/>
      <c r="Z53" s="79"/>
      <c r="AA53" s="78">
        <f>IF(MIN(AA20:AA52)&lt;=0," ",MIN(AA20:AA52))</f>
        <v>1.5</v>
      </c>
      <c r="AB53" s="78">
        <f aca="true" t="shared" si="31" ref="AB53:AM53">IF(MIN(AB20:AB52)&lt;=0," ",MIN(AB20:AB52))</f>
        <v>6.5</v>
      </c>
      <c r="AC53" s="78">
        <f>IF(MIN(AC20:AC52)&lt;=0," ",MIN(AC20:AC52))</f>
        <v>1.5</v>
      </c>
      <c r="AD53" s="78">
        <f t="shared" si="31"/>
        <v>3.5</v>
      </c>
      <c r="AE53" s="78">
        <f t="shared" si="31"/>
        <v>12.5</v>
      </c>
      <c r="AF53" s="78">
        <f t="shared" si="31"/>
        <v>73.5</v>
      </c>
      <c r="AG53" s="78">
        <f t="shared" si="31"/>
        <v>188.5</v>
      </c>
      <c r="AH53" s="78">
        <f t="shared" si="31"/>
        <v>324.5</v>
      </c>
      <c r="AI53" s="78">
        <f t="shared" si="31"/>
        <v>481.5</v>
      </c>
      <c r="AJ53" s="78">
        <f t="shared" si="31"/>
        <v>659.5</v>
      </c>
      <c r="AK53" s="78">
        <f t="shared" si="31"/>
        <v>858.5</v>
      </c>
      <c r="AL53" s="78">
        <f t="shared" si="31"/>
        <v>1078.5</v>
      </c>
      <c r="AM53" s="78">
        <f t="shared" si="31"/>
        <v>1447.5</v>
      </c>
      <c r="AR53" s="79"/>
      <c r="AS53" s="79"/>
      <c r="AT53" s="79">
        <f>IF(MIN(AT20:AT52)&lt;=0," ",MIN(AT20:AT52))</f>
        <v>1.5</v>
      </c>
      <c r="AU53" s="79">
        <f>IF(MIN(AU20:AU52)&lt;=0," ",MIN(AU20:AU52))</f>
        <v>6.5</v>
      </c>
      <c r="AV53" s="79">
        <f>IF(MIN(AV20:AV52)&lt;=0," ",MIN(AV20:AV52))</f>
        <v>1.5</v>
      </c>
      <c r="AW53" s="79">
        <f aca="true" t="shared" si="32" ref="AW53:BF53">IF(MIN(AW20:AW52)&lt;=0," ",MIN(AW20:AW52))</f>
        <v>3.5</v>
      </c>
      <c r="AX53" s="79">
        <f t="shared" si="32"/>
        <v>12.5</v>
      </c>
      <c r="AY53" s="79">
        <f t="shared" si="32"/>
        <v>73.5</v>
      </c>
      <c r="AZ53" s="79">
        <f t="shared" si="32"/>
        <v>188.5</v>
      </c>
      <c r="BA53" s="79">
        <f t="shared" si="32"/>
        <v>324.5</v>
      </c>
      <c r="BB53" s="79">
        <f t="shared" si="32"/>
        <v>481.5</v>
      </c>
      <c r="BC53" s="79">
        <f t="shared" si="32"/>
        <v>659.5</v>
      </c>
      <c r="BD53" s="79">
        <f t="shared" si="32"/>
        <v>858.5</v>
      </c>
      <c r="BE53" s="79">
        <f t="shared" si="32"/>
        <v>1078.5</v>
      </c>
      <c r="BF53" s="79">
        <f t="shared" si="32"/>
        <v>1447.5</v>
      </c>
    </row>
    <row r="54" spans="1:58" ht="28.5">
      <c r="A54" s="13" t="s">
        <v>67</v>
      </c>
      <c r="B54" s="3" t="s">
        <v>68</v>
      </c>
      <c r="C54" s="4"/>
      <c r="D54" s="10">
        <v>2300</v>
      </c>
      <c r="E54" s="8"/>
      <c r="G54" s="2"/>
      <c r="Y54" s="79"/>
      <c r="Z54" s="79"/>
      <c r="AA54" s="19">
        <v>1</v>
      </c>
      <c r="AB54" s="19">
        <v>2</v>
      </c>
      <c r="AC54" s="19">
        <v>3</v>
      </c>
      <c r="AD54" s="19">
        <v>4</v>
      </c>
      <c r="AE54" s="19">
        <v>5</v>
      </c>
      <c r="AF54" s="19">
        <v>6</v>
      </c>
      <c r="AG54" s="19">
        <v>7</v>
      </c>
      <c r="AH54" s="19">
        <v>8</v>
      </c>
      <c r="AI54" s="19">
        <v>9</v>
      </c>
      <c r="AJ54" s="19">
        <v>10</v>
      </c>
      <c r="AK54" s="19">
        <v>11</v>
      </c>
      <c r="AL54" s="19">
        <v>12</v>
      </c>
      <c r="AM54" s="19">
        <v>13</v>
      </c>
      <c r="AR54" s="79"/>
      <c r="AS54" s="79"/>
      <c r="AT54" s="79">
        <v>1</v>
      </c>
      <c r="AU54" s="79">
        <v>2</v>
      </c>
      <c r="AV54" s="79">
        <v>3</v>
      </c>
      <c r="AW54" s="79">
        <v>4</v>
      </c>
      <c r="AX54" s="79">
        <v>5</v>
      </c>
      <c r="AY54" s="79">
        <v>6</v>
      </c>
      <c r="AZ54" s="79">
        <v>7</v>
      </c>
      <c r="BA54" s="79">
        <v>8</v>
      </c>
      <c r="BB54" s="79">
        <v>9</v>
      </c>
      <c r="BC54" s="79">
        <v>10</v>
      </c>
      <c r="BD54" s="79">
        <v>11</v>
      </c>
      <c r="BE54" s="79">
        <v>12</v>
      </c>
      <c r="BF54" s="79">
        <v>13</v>
      </c>
    </row>
    <row r="55" spans="1:19" ht="18.75">
      <c r="A55" s="13" t="s">
        <v>67</v>
      </c>
      <c r="B55" s="3" t="s">
        <v>69</v>
      </c>
      <c r="C55" s="4"/>
      <c r="D55" s="10">
        <v>1500</v>
      </c>
      <c r="E55" s="8"/>
      <c r="G55" s="2"/>
      <c r="J55" s="221" t="s">
        <v>332</v>
      </c>
      <c r="K55" s="221"/>
      <c r="L55" s="126" t="s">
        <v>185</v>
      </c>
      <c r="M55" s="126" t="s">
        <v>186</v>
      </c>
      <c r="N55" s="126" t="s">
        <v>187</v>
      </c>
      <c r="O55" s="126" t="s">
        <v>188</v>
      </c>
      <c r="P55" s="126" t="s">
        <v>189</v>
      </c>
      <c r="Q55" s="126" t="s">
        <v>190</v>
      </c>
      <c r="R55" s="126" t="s">
        <v>191</v>
      </c>
      <c r="S55" s="133" t="s">
        <v>192</v>
      </c>
    </row>
    <row r="56" spans="1:19" ht="15" thickBot="1">
      <c r="A56" s="13" t="s">
        <v>67</v>
      </c>
      <c r="B56" s="3" t="s">
        <v>70</v>
      </c>
      <c r="C56" s="4"/>
      <c r="D56" s="10">
        <v>400</v>
      </c>
      <c r="E56" s="8"/>
      <c r="G56" s="2"/>
      <c r="J56" s="15"/>
      <c r="K56" s="15"/>
      <c r="L56" s="126" t="s">
        <v>193</v>
      </c>
      <c r="M56" s="126" t="s">
        <v>193</v>
      </c>
      <c r="N56" s="126" t="s">
        <v>193</v>
      </c>
      <c r="O56" s="126" t="s">
        <v>193</v>
      </c>
      <c r="P56" s="126" t="s">
        <v>193</v>
      </c>
      <c r="Q56" s="126" t="s">
        <v>193</v>
      </c>
      <c r="R56" s="126" t="s">
        <v>193</v>
      </c>
      <c r="S56" s="128" t="s">
        <v>194</v>
      </c>
    </row>
    <row r="57" spans="1:19" ht="14.25">
      <c r="A57" s="13" t="s">
        <v>67</v>
      </c>
      <c r="B57" s="3" t="s">
        <v>71</v>
      </c>
      <c r="C57" s="4"/>
      <c r="D57" s="10">
        <v>600</v>
      </c>
      <c r="E57" s="8"/>
      <c r="G57" s="2"/>
      <c r="J57" s="140">
        <v>1</v>
      </c>
      <c r="K57" s="129" t="s">
        <v>195</v>
      </c>
      <c r="L57" s="130">
        <v>12</v>
      </c>
      <c r="M57" s="130">
        <v>15</v>
      </c>
      <c r="N57" s="130">
        <v>20</v>
      </c>
      <c r="O57" s="130">
        <v>1.6</v>
      </c>
      <c r="P57" s="131">
        <v>1.1</v>
      </c>
      <c r="Q57" s="131">
        <v>2</v>
      </c>
      <c r="R57" s="130">
        <v>27</v>
      </c>
      <c r="S57" s="127">
        <v>3.5</v>
      </c>
    </row>
    <row r="58" spans="1:19" ht="14.25">
      <c r="A58" s="13" t="s">
        <v>67</v>
      </c>
      <c r="B58" s="3" t="s">
        <v>72</v>
      </c>
      <c r="C58" s="4"/>
      <c r="D58" s="10">
        <v>600</v>
      </c>
      <c r="E58" s="8"/>
      <c r="G58" s="2"/>
      <c r="J58" s="140">
        <v>2</v>
      </c>
      <c r="K58" s="132" t="s">
        <v>196</v>
      </c>
      <c r="L58" s="133">
        <v>16</v>
      </c>
      <c r="M58" s="133">
        <v>20</v>
      </c>
      <c r="N58" s="133">
        <v>24</v>
      </c>
      <c r="O58" s="133">
        <v>1.9</v>
      </c>
      <c r="P58" s="134">
        <v>1.3</v>
      </c>
      <c r="Q58" s="134">
        <v>2.5</v>
      </c>
      <c r="R58" s="133">
        <v>29</v>
      </c>
      <c r="S58" s="135">
        <v>3.5</v>
      </c>
    </row>
    <row r="59" spans="1:19" ht="14.25">
      <c r="A59" s="13" t="s">
        <v>67</v>
      </c>
      <c r="B59" s="3" t="s">
        <v>73</v>
      </c>
      <c r="C59" s="4"/>
      <c r="D59" s="10">
        <v>1500</v>
      </c>
      <c r="E59" s="8"/>
      <c r="G59" s="2"/>
      <c r="J59" s="140">
        <v>3</v>
      </c>
      <c r="K59" s="132" t="s">
        <v>197</v>
      </c>
      <c r="L59" s="133">
        <v>20</v>
      </c>
      <c r="M59" s="133">
        <v>25</v>
      </c>
      <c r="N59" s="133">
        <v>28</v>
      </c>
      <c r="O59" s="133">
        <v>2.2</v>
      </c>
      <c r="P59" s="134">
        <v>1.5</v>
      </c>
      <c r="Q59" s="134">
        <v>2.9</v>
      </c>
      <c r="R59" s="133">
        <v>30</v>
      </c>
      <c r="S59" s="135">
        <v>3.5</v>
      </c>
    </row>
    <row r="60" spans="1:19" ht="14.25">
      <c r="A60" s="13" t="s">
        <v>67</v>
      </c>
      <c r="B60" s="3" t="s">
        <v>74</v>
      </c>
      <c r="C60" s="4"/>
      <c r="D60" s="10">
        <v>2500</v>
      </c>
      <c r="E60" s="8"/>
      <c r="G60" s="2"/>
      <c r="J60" s="140">
        <v>4</v>
      </c>
      <c r="K60" s="132" t="s">
        <v>198</v>
      </c>
      <c r="L60" s="133">
        <v>25</v>
      </c>
      <c r="M60" s="133">
        <v>30</v>
      </c>
      <c r="N60" s="133">
        <v>33</v>
      </c>
      <c r="O60" s="133">
        <v>2.6</v>
      </c>
      <c r="P60" s="134">
        <v>1.8</v>
      </c>
      <c r="Q60" s="134">
        <v>3.3</v>
      </c>
      <c r="R60" s="133">
        <v>31</v>
      </c>
      <c r="S60" s="135">
        <v>3.5</v>
      </c>
    </row>
    <row r="61" spans="1:19" ht="14.25">
      <c r="A61" s="13" t="s">
        <v>75</v>
      </c>
      <c r="B61" s="3" t="s">
        <v>76</v>
      </c>
      <c r="C61" s="4" t="s">
        <v>77</v>
      </c>
      <c r="D61" s="10">
        <v>1800</v>
      </c>
      <c r="E61" s="8"/>
      <c r="G61" s="2"/>
      <c r="J61" s="140">
        <v>5</v>
      </c>
      <c r="K61" s="132" t="s">
        <v>199</v>
      </c>
      <c r="L61" s="133">
        <v>30</v>
      </c>
      <c r="M61" s="133">
        <v>37</v>
      </c>
      <c r="N61" s="133">
        <v>38</v>
      </c>
      <c r="O61" s="133">
        <v>2.9</v>
      </c>
      <c r="P61" s="134">
        <v>2</v>
      </c>
      <c r="Q61" s="134">
        <v>3.8</v>
      </c>
      <c r="R61" s="133">
        <v>32</v>
      </c>
      <c r="S61" s="135">
        <v>3.5</v>
      </c>
    </row>
    <row r="62" spans="1:19" ht="14.25">
      <c r="A62" s="13" t="s">
        <v>75</v>
      </c>
      <c r="B62" s="3" t="s">
        <v>76</v>
      </c>
      <c r="C62" s="4" t="s">
        <v>79</v>
      </c>
      <c r="D62" s="10">
        <v>1900</v>
      </c>
      <c r="E62" s="8"/>
      <c r="G62" s="2"/>
      <c r="J62" s="140">
        <v>6</v>
      </c>
      <c r="K62" s="132" t="s">
        <v>200</v>
      </c>
      <c r="L62" s="133">
        <v>35</v>
      </c>
      <c r="M62" s="133">
        <v>45</v>
      </c>
      <c r="N62" s="133">
        <v>43</v>
      </c>
      <c r="O62" s="133">
        <v>3.2</v>
      </c>
      <c r="P62" s="134">
        <v>2.2</v>
      </c>
      <c r="Q62" s="134">
        <v>4.2</v>
      </c>
      <c r="R62" s="133">
        <v>34</v>
      </c>
      <c r="S62" s="135">
        <v>3.5</v>
      </c>
    </row>
    <row r="63" spans="1:19" ht="28.5">
      <c r="A63" s="13" t="s">
        <v>75</v>
      </c>
      <c r="B63" s="3" t="s">
        <v>81</v>
      </c>
      <c r="C63" s="4" t="s">
        <v>82</v>
      </c>
      <c r="D63" s="10">
        <v>1200</v>
      </c>
      <c r="E63" s="8"/>
      <c r="G63" s="2"/>
      <c r="J63" s="140">
        <v>7</v>
      </c>
      <c r="K63" s="132" t="s">
        <v>201</v>
      </c>
      <c r="L63" s="133">
        <v>40</v>
      </c>
      <c r="M63" s="133">
        <v>50</v>
      </c>
      <c r="N63" s="133">
        <v>48</v>
      </c>
      <c r="O63" s="133">
        <v>3.5</v>
      </c>
      <c r="P63" s="134">
        <v>2.5</v>
      </c>
      <c r="Q63" s="134">
        <v>4.6</v>
      </c>
      <c r="R63" s="133">
        <v>35</v>
      </c>
      <c r="S63" s="135">
        <v>3.5</v>
      </c>
    </row>
    <row r="64" spans="1:19" ht="14.25">
      <c r="A64" s="13" t="s">
        <v>75</v>
      </c>
      <c r="B64" s="3" t="s">
        <v>81</v>
      </c>
      <c r="C64" s="4" t="s">
        <v>80</v>
      </c>
      <c r="D64" s="10">
        <v>2000</v>
      </c>
      <c r="E64" s="8"/>
      <c r="G64" s="2"/>
      <c r="J64" s="140">
        <v>8</v>
      </c>
      <c r="K64" s="132" t="s">
        <v>202</v>
      </c>
      <c r="L64" s="133">
        <v>45</v>
      </c>
      <c r="M64" s="133">
        <v>55</v>
      </c>
      <c r="N64" s="133">
        <v>53</v>
      </c>
      <c r="O64" s="133">
        <v>3.8</v>
      </c>
      <c r="P64" s="134">
        <v>2.7</v>
      </c>
      <c r="Q64" s="134">
        <v>4.9</v>
      </c>
      <c r="R64" s="133">
        <v>36</v>
      </c>
      <c r="S64" s="135">
        <v>3.5</v>
      </c>
    </row>
    <row r="65" spans="1:19" ht="14.25">
      <c r="A65" s="13" t="s">
        <v>75</v>
      </c>
      <c r="B65" s="3" t="s">
        <v>83</v>
      </c>
      <c r="C65" s="4" t="s">
        <v>84</v>
      </c>
      <c r="D65" s="10">
        <v>2700</v>
      </c>
      <c r="E65" s="8"/>
      <c r="G65" s="2"/>
      <c r="J65" s="140">
        <v>9</v>
      </c>
      <c r="K65" s="132" t="s">
        <v>203</v>
      </c>
      <c r="L65" s="133">
        <v>50</v>
      </c>
      <c r="M65" s="133">
        <v>60</v>
      </c>
      <c r="N65" s="133">
        <v>58</v>
      </c>
      <c r="O65" s="133">
        <v>4.1</v>
      </c>
      <c r="P65" s="134">
        <v>2.9</v>
      </c>
      <c r="Q65" s="134">
        <v>5.3</v>
      </c>
      <c r="R65" s="133">
        <v>37</v>
      </c>
      <c r="S65" s="135">
        <v>3.5</v>
      </c>
    </row>
    <row r="66" spans="1:19" ht="14.25">
      <c r="A66" s="13" t="s">
        <v>75</v>
      </c>
      <c r="B66" s="3" t="s">
        <v>83</v>
      </c>
      <c r="C66" s="4" t="s">
        <v>85</v>
      </c>
      <c r="D66" s="10">
        <v>2200</v>
      </c>
      <c r="E66" s="8"/>
      <c r="G66" s="2"/>
      <c r="J66" s="140">
        <v>10</v>
      </c>
      <c r="K66" s="132" t="s">
        <v>204</v>
      </c>
      <c r="L66" s="133">
        <v>55</v>
      </c>
      <c r="M66" s="133">
        <v>67</v>
      </c>
      <c r="N66" s="133">
        <v>63</v>
      </c>
      <c r="O66" s="133">
        <v>4.2</v>
      </c>
      <c r="P66" s="134">
        <v>3</v>
      </c>
      <c r="Q66" s="134">
        <v>5.5</v>
      </c>
      <c r="R66" s="133">
        <v>38</v>
      </c>
      <c r="S66" s="135">
        <v>3.1</v>
      </c>
    </row>
    <row r="67" spans="1:19" ht="14.25">
      <c r="A67" s="13" t="s">
        <v>75</v>
      </c>
      <c r="B67" s="3" t="s">
        <v>83</v>
      </c>
      <c r="C67" s="4" t="s">
        <v>86</v>
      </c>
      <c r="D67" s="10">
        <v>2500</v>
      </c>
      <c r="E67" s="8"/>
      <c r="G67" s="2"/>
      <c r="J67" s="140">
        <v>11</v>
      </c>
      <c r="K67" s="132" t="s">
        <v>205</v>
      </c>
      <c r="L67" s="133">
        <v>60</v>
      </c>
      <c r="M67" s="133">
        <v>75</v>
      </c>
      <c r="N67" s="133">
        <v>68</v>
      </c>
      <c r="O67" s="133">
        <v>4.4</v>
      </c>
      <c r="P67" s="134">
        <v>3.1</v>
      </c>
      <c r="Q67" s="134">
        <v>5.7</v>
      </c>
      <c r="R67" s="133">
        <v>39</v>
      </c>
      <c r="S67" s="135">
        <v>2.9</v>
      </c>
    </row>
    <row r="68" spans="1:19" ht="14.25">
      <c r="A68" s="13" t="s">
        <v>75</v>
      </c>
      <c r="B68" s="3" t="s">
        <v>83</v>
      </c>
      <c r="C68" s="4" t="s">
        <v>87</v>
      </c>
      <c r="D68" s="10">
        <v>2100</v>
      </c>
      <c r="E68" s="8"/>
      <c r="G68" s="2"/>
      <c r="J68" s="140">
        <v>12</v>
      </c>
      <c r="K68" s="132" t="s">
        <v>206</v>
      </c>
      <c r="L68" s="133">
        <v>70</v>
      </c>
      <c r="M68" s="133">
        <v>85</v>
      </c>
      <c r="N68" s="133">
        <v>78</v>
      </c>
      <c r="O68" s="133">
        <v>4.6</v>
      </c>
      <c r="P68" s="134">
        <v>3.2</v>
      </c>
      <c r="Q68" s="134">
        <v>6</v>
      </c>
      <c r="R68" s="133">
        <v>41</v>
      </c>
      <c r="S68" s="135">
        <v>2.7</v>
      </c>
    </row>
    <row r="69" spans="1:19" ht="28.5">
      <c r="A69" s="13" t="s">
        <v>88</v>
      </c>
      <c r="B69" s="3" t="s">
        <v>89</v>
      </c>
      <c r="C69" s="4"/>
      <c r="D69" s="10">
        <v>100</v>
      </c>
      <c r="E69" s="8"/>
      <c r="G69" s="2"/>
      <c r="J69" s="140">
        <v>13</v>
      </c>
      <c r="K69" s="132" t="s">
        <v>207</v>
      </c>
      <c r="L69" s="133">
        <v>80</v>
      </c>
      <c r="M69" s="133">
        <v>95</v>
      </c>
      <c r="N69" s="133">
        <v>88</v>
      </c>
      <c r="O69" s="133">
        <v>4.8</v>
      </c>
      <c r="P69" s="134">
        <v>3.4</v>
      </c>
      <c r="Q69" s="134">
        <v>6.3</v>
      </c>
      <c r="R69" s="133">
        <v>42</v>
      </c>
      <c r="S69" s="135">
        <v>2.6</v>
      </c>
    </row>
    <row r="70" spans="1:19" ht="29.25" thickBot="1">
      <c r="A70" s="13" t="s">
        <v>88</v>
      </c>
      <c r="B70" s="3" t="s">
        <v>90</v>
      </c>
      <c r="C70" s="4"/>
      <c r="D70" s="10">
        <v>150</v>
      </c>
      <c r="E70" s="8"/>
      <c r="G70" s="2"/>
      <c r="J70" s="140">
        <v>14</v>
      </c>
      <c r="K70" s="136" t="s">
        <v>208</v>
      </c>
      <c r="L70" s="137">
        <v>90</v>
      </c>
      <c r="M70" s="137">
        <v>105</v>
      </c>
      <c r="N70" s="137">
        <v>98</v>
      </c>
      <c r="O70" s="138">
        <v>5</v>
      </c>
      <c r="P70" s="138">
        <v>3.5</v>
      </c>
      <c r="Q70" s="138">
        <v>6.6</v>
      </c>
      <c r="R70" s="138">
        <v>44</v>
      </c>
      <c r="S70" s="139">
        <v>2.9</v>
      </c>
    </row>
    <row r="71" spans="1:7" ht="14.25">
      <c r="A71" s="13" t="s">
        <v>88</v>
      </c>
      <c r="B71" s="3" t="s">
        <v>91</v>
      </c>
      <c r="C71" s="4" t="s">
        <v>92</v>
      </c>
      <c r="D71" s="10">
        <v>20</v>
      </c>
      <c r="E71" s="8"/>
      <c r="G71" s="2"/>
    </row>
    <row r="72" spans="1:7" ht="14.25">
      <c r="A72" s="13" t="s">
        <v>88</v>
      </c>
      <c r="B72" s="3" t="s">
        <v>91</v>
      </c>
      <c r="C72" s="4" t="s">
        <v>93</v>
      </c>
      <c r="D72" s="10">
        <v>150</v>
      </c>
      <c r="E72" s="8"/>
      <c r="G72" s="2"/>
    </row>
    <row r="73" spans="1:15" ht="15.75" customHeight="1">
      <c r="A73" s="13" t="s">
        <v>88</v>
      </c>
      <c r="B73" s="3" t="s">
        <v>94</v>
      </c>
      <c r="C73" s="4" t="s">
        <v>95</v>
      </c>
      <c r="D73" s="10">
        <v>150</v>
      </c>
      <c r="E73" s="8"/>
      <c r="G73" s="2"/>
      <c r="J73" s="221" t="s">
        <v>343</v>
      </c>
      <c r="K73" s="221"/>
      <c r="L73" s="126" t="s">
        <v>209</v>
      </c>
      <c r="M73" s="126" t="s">
        <v>210</v>
      </c>
      <c r="N73" s="126" t="s">
        <v>0</v>
      </c>
      <c r="O73" s="184" t="s">
        <v>485</v>
      </c>
    </row>
    <row r="74" spans="1:15" ht="15" thickBot="1">
      <c r="A74" s="13" t="s">
        <v>88</v>
      </c>
      <c r="B74" s="3" t="s">
        <v>94</v>
      </c>
      <c r="C74" s="4" t="s">
        <v>96</v>
      </c>
      <c r="D74" s="10">
        <v>1400</v>
      </c>
      <c r="E74" s="8"/>
      <c r="G74" s="2"/>
      <c r="J74" s="15"/>
      <c r="K74" s="15"/>
      <c r="L74" s="126" t="s">
        <v>193</v>
      </c>
      <c r="M74" s="126" t="s">
        <v>193</v>
      </c>
      <c r="N74" s="126" t="s">
        <v>193</v>
      </c>
      <c r="O74" s="15"/>
    </row>
    <row r="75" spans="1:15" ht="14.25">
      <c r="A75" s="13" t="s">
        <v>88</v>
      </c>
      <c r="B75" s="3" t="s">
        <v>94</v>
      </c>
      <c r="C75" s="4" t="s">
        <v>97</v>
      </c>
      <c r="D75" s="10">
        <v>1300</v>
      </c>
      <c r="E75" s="8"/>
      <c r="G75" s="2"/>
      <c r="J75" s="140">
        <v>1</v>
      </c>
      <c r="K75" s="142" t="s">
        <v>211</v>
      </c>
      <c r="L75" s="130">
        <v>420</v>
      </c>
      <c r="M75" s="130">
        <v>520</v>
      </c>
      <c r="N75" s="143">
        <v>200000</v>
      </c>
      <c r="O75" s="182" t="s">
        <v>480</v>
      </c>
    </row>
    <row r="76" spans="1:15" ht="14.25">
      <c r="A76" s="13" t="s">
        <v>88</v>
      </c>
      <c r="B76" s="3" t="s">
        <v>94</v>
      </c>
      <c r="C76" s="4" t="s">
        <v>98</v>
      </c>
      <c r="D76" s="10">
        <v>1200</v>
      </c>
      <c r="E76" s="8"/>
      <c r="G76" s="2"/>
      <c r="J76" s="140">
        <v>2</v>
      </c>
      <c r="K76" s="144" t="s">
        <v>212</v>
      </c>
      <c r="L76" s="133">
        <v>500</v>
      </c>
      <c r="M76" s="133">
        <v>550</v>
      </c>
      <c r="N76" s="145">
        <v>200000</v>
      </c>
      <c r="O76" s="183" t="s">
        <v>480</v>
      </c>
    </row>
    <row r="77" spans="1:15" ht="14.25">
      <c r="A77" s="13" t="s">
        <v>88</v>
      </c>
      <c r="B77" s="3" t="s">
        <v>99</v>
      </c>
      <c r="C77" s="4"/>
      <c r="D77" s="10">
        <v>50</v>
      </c>
      <c r="E77" s="8"/>
      <c r="G77" s="2"/>
      <c r="J77" s="140">
        <v>3</v>
      </c>
      <c r="K77" s="144" t="s">
        <v>213</v>
      </c>
      <c r="L77" s="133">
        <v>500</v>
      </c>
      <c r="M77" s="133">
        <v>550</v>
      </c>
      <c r="N77" s="145">
        <v>200000</v>
      </c>
      <c r="O77" s="183" t="s">
        <v>481</v>
      </c>
    </row>
    <row r="78" spans="1:15" ht="14.25">
      <c r="A78" s="13" t="s">
        <v>88</v>
      </c>
      <c r="B78" s="3" t="s">
        <v>100</v>
      </c>
      <c r="C78" s="4" t="s">
        <v>101</v>
      </c>
      <c r="D78" s="10">
        <v>50</v>
      </c>
      <c r="E78" s="8"/>
      <c r="G78" s="2"/>
      <c r="J78" s="140">
        <v>4</v>
      </c>
      <c r="K78" s="180" t="s">
        <v>478</v>
      </c>
      <c r="L78" s="133">
        <v>500</v>
      </c>
      <c r="M78" s="133">
        <v>550</v>
      </c>
      <c r="N78" s="145">
        <v>200000</v>
      </c>
      <c r="O78" s="146"/>
    </row>
    <row r="79" spans="1:15" ht="15" thickBot="1">
      <c r="A79" s="13" t="s">
        <v>88</v>
      </c>
      <c r="B79" s="3" t="s">
        <v>100</v>
      </c>
      <c r="C79" s="4" t="s">
        <v>102</v>
      </c>
      <c r="D79" s="10">
        <v>60</v>
      </c>
      <c r="E79" s="8"/>
      <c r="G79" s="2"/>
      <c r="J79" s="140">
        <v>5</v>
      </c>
      <c r="K79" s="181" t="s">
        <v>479</v>
      </c>
      <c r="L79" s="137">
        <v>500</v>
      </c>
      <c r="M79" s="137">
        <v>550</v>
      </c>
      <c r="N79" s="147">
        <v>200000</v>
      </c>
      <c r="O79" s="148"/>
    </row>
    <row r="80" spans="1:7" ht="14.25">
      <c r="A80" s="13" t="s">
        <v>88</v>
      </c>
      <c r="B80" s="3" t="s">
        <v>100</v>
      </c>
      <c r="C80" s="4" t="s">
        <v>103</v>
      </c>
      <c r="D80" s="10">
        <v>300</v>
      </c>
      <c r="E80" s="8"/>
      <c r="G80" s="2"/>
    </row>
    <row r="81" spans="1:7" ht="14.25">
      <c r="A81" s="13" t="s">
        <v>88</v>
      </c>
      <c r="B81" s="3" t="s">
        <v>100</v>
      </c>
      <c r="C81" s="4" t="s">
        <v>104</v>
      </c>
      <c r="D81" s="10">
        <v>350</v>
      </c>
      <c r="E81" s="8"/>
      <c r="G81" s="2"/>
    </row>
    <row r="82" spans="1:7" ht="14.25">
      <c r="A82" s="13" t="s">
        <v>88</v>
      </c>
      <c r="B82" s="3" t="s">
        <v>100</v>
      </c>
      <c r="C82" s="4" t="s">
        <v>105</v>
      </c>
      <c r="D82" s="10">
        <v>450</v>
      </c>
      <c r="E82" s="8"/>
      <c r="G82" s="2"/>
    </row>
    <row r="83" spans="1:17" ht="25.5">
      <c r="A83" s="13" t="s">
        <v>88</v>
      </c>
      <c r="B83" s="3" t="s">
        <v>100</v>
      </c>
      <c r="C83" s="4" t="s">
        <v>106</v>
      </c>
      <c r="D83" s="10">
        <v>1200</v>
      </c>
      <c r="E83" s="8"/>
      <c r="G83" s="2"/>
      <c r="J83" s="61" t="s">
        <v>242</v>
      </c>
      <c r="K83"/>
      <c r="L83" s="218" t="s">
        <v>483</v>
      </c>
      <c r="M83" s="218"/>
      <c r="N83" s="219" t="s">
        <v>482</v>
      </c>
      <c r="O83" s="219"/>
      <c r="P83" s="220" t="s">
        <v>484</v>
      </c>
      <c r="Q83" s="220"/>
    </row>
    <row r="84" spans="1:28" ht="15">
      <c r="A84" s="13" t="s">
        <v>88</v>
      </c>
      <c r="B84" s="3" t="s">
        <v>100</v>
      </c>
      <c r="C84" s="4" t="s">
        <v>107</v>
      </c>
      <c r="D84" s="10">
        <v>800</v>
      </c>
      <c r="E84" s="8"/>
      <c r="G84" s="2"/>
      <c r="J84"/>
      <c r="K84"/>
      <c r="L84" s="62" t="s">
        <v>243</v>
      </c>
      <c r="M84" s="62" t="s">
        <v>244</v>
      </c>
      <c r="N84" s="62" t="s">
        <v>243</v>
      </c>
      <c r="O84" s="63" t="s">
        <v>244</v>
      </c>
      <c r="P84" s="62" t="s">
        <v>243</v>
      </c>
      <c r="Q84" s="62" t="s">
        <v>244</v>
      </c>
      <c r="AB84" s="1" t="str">
        <f>Computation!C61</f>
        <v>C 30/37</v>
      </c>
    </row>
    <row r="85" spans="1:28" ht="18">
      <c r="A85" s="13" t="s">
        <v>88</v>
      </c>
      <c r="B85" s="3" t="s">
        <v>108</v>
      </c>
      <c r="C85" s="4" t="s">
        <v>109</v>
      </c>
      <c r="D85" s="7"/>
      <c r="E85" s="11">
        <v>4.1</v>
      </c>
      <c r="G85" s="2"/>
      <c r="J85" s="64"/>
      <c r="K85" s="65" t="s">
        <v>195</v>
      </c>
      <c r="L85" s="66">
        <v>14.6</v>
      </c>
      <c r="M85" s="66">
        <v>12.2</v>
      </c>
      <c r="N85" s="67">
        <v>5.8</v>
      </c>
      <c r="O85" s="67">
        <v>4.9</v>
      </c>
      <c r="P85" s="68">
        <v>21.9</v>
      </c>
      <c r="Q85" s="68">
        <v>18.3</v>
      </c>
      <c r="AB85" s="1">
        <f>LOOKUP(AB84,K85:K91,P85:P91)</f>
        <v>30.8</v>
      </c>
    </row>
    <row r="86" spans="1:17" ht="18">
      <c r="A86" s="13" t="s">
        <v>88</v>
      </c>
      <c r="B86" s="3" t="s">
        <v>110</v>
      </c>
      <c r="C86" s="4" t="s">
        <v>111</v>
      </c>
      <c r="D86" s="7"/>
      <c r="E86" s="11">
        <v>1</v>
      </c>
      <c r="G86" s="2"/>
      <c r="J86" s="64"/>
      <c r="K86" s="65" t="s">
        <v>196</v>
      </c>
      <c r="L86" s="66">
        <v>15.8</v>
      </c>
      <c r="M86" s="66">
        <v>12.6</v>
      </c>
      <c r="N86" s="67">
        <v>6.3</v>
      </c>
      <c r="O86" s="67">
        <v>5</v>
      </c>
      <c r="P86" s="68">
        <v>23.7</v>
      </c>
      <c r="Q86" s="68">
        <v>18.9</v>
      </c>
    </row>
    <row r="87" spans="1:17" ht="18">
      <c r="A87" s="13" t="s">
        <v>88</v>
      </c>
      <c r="B87" s="3" t="s">
        <v>110</v>
      </c>
      <c r="C87" s="4" t="s">
        <v>112</v>
      </c>
      <c r="D87" s="7"/>
      <c r="E87" s="11">
        <v>0.5</v>
      </c>
      <c r="G87" s="2"/>
      <c r="J87" s="64"/>
      <c r="K87" s="65" t="s">
        <v>197</v>
      </c>
      <c r="L87" s="66">
        <v>17</v>
      </c>
      <c r="M87" s="66">
        <v>13</v>
      </c>
      <c r="N87" s="67">
        <v>6.8</v>
      </c>
      <c r="O87" s="67">
        <v>5.2</v>
      </c>
      <c r="P87" s="68">
        <v>25.5</v>
      </c>
      <c r="Q87" s="68">
        <v>19.5</v>
      </c>
    </row>
    <row r="88" spans="1:17" ht="28.5">
      <c r="A88" s="13" t="s">
        <v>88</v>
      </c>
      <c r="B88" s="3" t="s">
        <v>110</v>
      </c>
      <c r="C88" s="4" t="s">
        <v>113</v>
      </c>
      <c r="D88" s="7"/>
      <c r="E88" s="11">
        <v>2</v>
      </c>
      <c r="G88" s="2"/>
      <c r="J88" s="64"/>
      <c r="K88" s="65" t="s">
        <v>198</v>
      </c>
      <c r="L88" s="66">
        <v>18.5</v>
      </c>
      <c r="M88" s="66">
        <v>13.5</v>
      </c>
      <c r="N88" s="67">
        <v>7.4</v>
      </c>
      <c r="O88" s="67">
        <v>5.4</v>
      </c>
      <c r="P88" s="68">
        <v>27.8</v>
      </c>
      <c r="Q88" s="68">
        <v>20.3</v>
      </c>
    </row>
    <row r="89" spans="1:17" ht="28.5">
      <c r="A89" s="13" t="s">
        <v>88</v>
      </c>
      <c r="B89" s="3" t="s">
        <v>110</v>
      </c>
      <c r="C89" s="4" t="s">
        <v>114</v>
      </c>
      <c r="D89" s="7"/>
      <c r="E89" s="11">
        <v>4.5</v>
      </c>
      <c r="G89" s="2"/>
      <c r="J89" s="64"/>
      <c r="K89" s="65" t="s">
        <v>199</v>
      </c>
      <c r="L89" s="66">
        <v>20.5</v>
      </c>
      <c r="M89" s="66">
        <v>14</v>
      </c>
      <c r="N89" s="67">
        <v>8</v>
      </c>
      <c r="O89" s="67">
        <v>5.6</v>
      </c>
      <c r="P89" s="68">
        <v>30.8</v>
      </c>
      <c r="Q89" s="68">
        <v>21</v>
      </c>
    </row>
    <row r="90" spans="1:40" ht="28.5">
      <c r="A90" s="13" t="s">
        <v>88</v>
      </c>
      <c r="B90" s="3" t="s">
        <v>115</v>
      </c>
      <c r="C90" s="4"/>
      <c r="D90" s="7"/>
      <c r="E90" s="11">
        <v>2.5</v>
      </c>
      <c r="G90" s="2"/>
      <c r="J90" s="64"/>
      <c r="K90" s="65" t="s">
        <v>201</v>
      </c>
      <c r="L90" s="66">
        <v>25.8</v>
      </c>
      <c r="M90" s="66">
        <v>15</v>
      </c>
      <c r="N90" s="67">
        <v>10.3</v>
      </c>
      <c r="O90" s="67">
        <v>6</v>
      </c>
      <c r="P90" s="68">
        <v>38.6</v>
      </c>
      <c r="Q90" s="68">
        <v>22.5</v>
      </c>
      <c r="Z90" s="196" t="s">
        <v>253</v>
      </c>
      <c r="AA90" s="196"/>
      <c r="AB90" s="196"/>
      <c r="AC90" s="196"/>
      <c r="AD90" s="196"/>
      <c r="AE90" s="196"/>
      <c r="AF90" s="196"/>
      <c r="AG90" s="196"/>
      <c r="AH90" s="196"/>
      <c r="AI90" s="196"/>
      <c r="AJ90" s="196"/>
      <c r="AK90" s="110"/>
      <c r="AL90" s="110"/>
      <c r="AM90" s="110"/>
      <c r="AN90" s="110"/>
    </row>
    <row r="91" spans="1:40" ht="18">
      <c r="A91" s="13" t="s">
        <v>116</v>
      </c>
      <c r="B91" s="3" t="s">
        <v>117</v>
      </c>
      <c r="C91" s="4"/>
      <c r="D91" s="7"/>
      <c r="E91" s="11">
        <v>3</v>
      </c>
      <c r="G91" s="2"/>
      <c r="J91" s="64"/>
      <c r="K91" s="65" t="s">
        <v>203</v>
      </c>
      <c r="L91" s="66">
        <v>32</v>
      </c>
      <c r="M91" s="66">
        <v>16</v>
      </c>
      <c r="N91" s="67">
        <v>12.4</v>
      </c>
      <c r="O91" s="67">
        <v>6.4</v>
      </c>
      <c r="P91" s="68">
        <v>48</v>
      </c>
      <c r="Q91" s="68">
        <v>24</v>
      </c>
      <c r="Z91" s="79"/>
      <c r="AA91" s="79"/>
      <c r="AB91" s="79"/>
      <c r="AC91" s="79"/>
      <c r="AD91" s="79"/>
      <c r="AE91" s="79" t="s">
        <v>184</v>
      </c>
      <c r="AF91" s="79" t="e">
        <f>0.0013*1000*Computation!R72-Computation!S102-Computation!S93/2</f>
        <v>#VALUE!</v>
      </c>
      <c r="AG91" s="79" t="s">
        <v>177</v>
      </c>
      <c r="AH91" s="79"/>
      <c r="AI91" s="79"/>
      <c r="AJ91" s="79"/>
      <c r="AK91" s="141"/>
      <c r="AL91" s="141"/>
      <c r="AM91" s="141"/>
      <c r="AN91" s="141"/>
    </row>
    <row r="92" spans="1:40" ht="14.25">
      <c r="A92" s="13" t="s">
        <v>116</v>
      </c>
      <c r="B92" s="3" t="s">
        <v>118</v>
      </c>
      <c r="C92" s="4"/>
      <c r="D92" s="10">
        <v>1200</v>
      </c>
      <c r="E92" s="8"/>
      <c r="G92" s="2"/>
      <c r="Z92" s="79"/>
      <c r="AA92" s="79"/>
      <c r="AB92" s="79"/>
      <c r="AC92" s="79"/>
      <c r="AD92" s="79"/>
      <c r="AE92" s="79" t="s">
        <v>184</v>
      </c>
      <c r="AF92" s="79" t="e">
        <f>(0.26*Computation!S110*1000*(Computation!R72-Computation!S102-Computation!S93/2))/(Computation!V107)</f>
        <v>#VALUE!</v>
      </c>
      <c r="AG92" s="79" t="s">
        <v>177</v>
      </c>
      <c r="AH92" s="79"/>
      <c r="AI92" s="79"/>
      <c r="AJ92" s="79"/>
      <c r="AK92" s="141"/>
      <c r="AL92" s="141"/>
      <c r="AM92" s="141"/>
      <c r="AN92" s="141"/>
    </row>
    <row r="93" spans="1:40" ht="15" thickBot="1">
      <c r="A93" s="13" t="s">
        <v>116</v>
      </c>
      <c r="B93" s="3" t="s">
        <v>119</v>
      </c>
      <c r="C93" s="4"/>
      <c r="D93" s="7"/>
      <c r="E93" s="11">
        <v>5</v>
      </c>
      <c r="G93" s="2"/>
      <c r="Z93" s="19"/>
      <c r="AA93" s="19"/>
      <c r="AB93" s="19"/>
      <c r="AC93" s="19"/>
      <c r="AD93" s="19"/>
      <c r="AE93" s="19"/>
      <c r="AF93" s="19" t="e">
        <f>MAX(AF91:AF92)</f>
        <v>#VALUE!</v>
      </c>
      <c r="AG93" s="19"/>
      <c r="AH93" s="19"/>
      <c r="AI93" s="19"/>
      <c r="AJ93" s="19"/>
      <c r="AK93" s="15"/>
      <c r="AL93" s="15"/>
      <c r="AM93" s="15"/>
      <c r="AN93" s="15"/>
    </row>
    <row r="94" spans="1:40" ht="14.25">
      <c r="A94" s="13" t="s">
        <v>120</v>
      </c>
      <c r="B94" s="3" t="s">
        <v>121</v>
      </c>
      <c r="C94" s="4"/>
      <c r="D94" s="10">
        <v>1200</v>
      </c>
      <c r="E94" s="8"/>
      <c r="G94" s="2"/>
      <c r="I94" s="198" t="s">
        <v>486</v>
      </c>
      <c r="J94" s="199"/>
      <c r="K94" s="199"/>
      <c r="L94" s="199"/>
      <c r="M94" s="199"/>
      <c r="N94" s="199"/>
      <c r="O94" s="199"/>
      <c r="P94" s="199"/>
      <c r="Q94" s="199"/>
      <c r="R94" s="199"/>
      <c r="S94" s="199"/>
      <c r="T94" s="200"/>
      <c r="Z94" s="19"/>
      <c r="AA94" s="19"/>
      <c r="AB94" s="19"/>
      <c r="AC94" s="19"/>
      <c r="AD94" s="19"/>
      <c r="AE94" s="19"/>
      <c r="AF94" s="19"/>
      <c r="AG94" s="19"/>
      <c r="AH94" s="69" t="s">
        <v>259</v>
      </c>
      <c r="AI94" s="19">
        <f>Computation!T190</f>
        <v>3</v>
      </c>
      <c r="AJ94" s="19"/>
      <c r="AK94" s="15"/>
      <c r="AL94" s="15"/>
      <c r="AM94" s="15"/>
      <c r="AN94" s="15"/>
    </row>
    <row r="95" spans="1:40" ht="15" thickBot="1">
      <c r="A95" s="13" t="s">
        <v>120</v>
      </c>
      <c r="B95" s="3" t="s">
        <v>122</v>
      </c>
      <c r="C95" s="4" t="s">
        <v>123</v>
      </c>
      <c r="D95" s="10">
        <v>2600</v>
      </c>
      <c r="E95" s="8"/>
      <c r="G95" s="2"/>
      <c r="I95" s="201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3"/>
      <c r="Z95" s="19"/>
      <c r="AA95" s="19"/>
      <c r="AB95" s="19" t="s">
        <v>179</v>
      </c>
      <c r="AC95" s="18">
        <f>Computation!C199</f>
        <v>2.5679749015748032</v>
      </c>
      <c r="AD95" s="19"/>
      <c r="AE95" s="19" t="s">
        <v>180</v>
      </c>
      <c r="AF95" s="78">
        <f>AC95+AC96</f>
        <v>23.8</v>
      </c>
      <c r="AG95" s="19"/>
      <c r="AH95" s="156" t="s">
        <v>258</v>
      </c>
      <c r="AI95" s="19">
        <f>HLOOKUP(AC96,AB118:AJ119,2,FALSE)</f>
        <v>1</v>
      </c>
      <c r="AJ95" s="19"/>
      <c r="AK95" s="15"/>
      <c r="AL95" s="15"/>
      <c r="AM95" s="15"/>
      <c r="AN95" s="15"/>
    </row>
    <row r="96" spans="1:40" ht="18.75" thickTop="1">
      <c r="A96" s="13" t="s">
        <v>120</v>
      </c>
      <c r="B96" s="3" t="s">
        <v>122</v>
      </c>
      <c r="C96" s="4" t="s">
        <v>124</v>
      </c>
      <c r="D96" s="10">
        <v>2300</v>
      </c>
      <c r="E96" s="8"/>
      <c r="G96" s="2"/>
      <c r="I96" s="204" t="s">
        <v>487</v>
      </c>
      <c r="J96" s="206" t="s">
        <v>488</v>
      </c>
      <c r="K96" s="206" t="s">
        <v>489</v>
      </c>
      <c r="L96" s="209" t="s">
        <v>255</v>
      </c>
      <c r="M96" s="209"/>
      <c r="N96" s="209"/>
      <c r="O96" s="209"/>
      <c r="P96" s="209"/>
      <c r="Q96" s="209"/>
      <c r="R96" s="209"/>
      <c r="S96" s="209"/>
      <c r="T96" s="210"/>
      <c r="Z96" s="19"/>
      <c r="AA96" s="19"/>
      <c r="AB96" s="19"/>
      <c r="AC96" s="78">
        <f>MIN(AB118:AN118)</f>
        <v>21.232025098425197</v>
      </c>
      <c r="AD96" s="19"/>
      <c r="AE96" s="19" t="s">
        <v>182</v>
      </c>
      <c r="AF96" s="19">
        <f>LOOKUP(AF95,AA100:AA117,Z100:Z117)</f>
        <v>5.5</v>
      </c>
      <c r="AG96" s="19"/>
      <c r="AH96" s="19"/>
      <c r="AI96" s="19"/>
      <c r="AJ96" s="19"/>
      <c r="AK96" s="15"/>
      <c r="AL96" s="15"/>
      <c r="AM96" s="15"/>
      <c r="AN96" s="15"/>
    </row>
    <row r="97" spans="1:40" ht="33.75" customHeight="1" thickBot="1">
      <c r="A97" s="13" t="s">
        <v>120</v>
      </c>
      <c r="B97" s="3" t="s">
        <v>125</v>
      </c>
      <c r="C97" s="4" t="s">
        <v>126</v>
      </c>
      <c r="D97" s="10">
        <v>2300</v>
      </c>
      <c r="E97" s="8"/>
      <c r="G97" s="2"/>
      <c r="I97" s="205"/>
      <c r="J97" s="207"/>
      <c r="K97" s="207"/>
      <c r="L97" s="194" t="s">
        <v>256</v>
      </c>
      <c r="M97" s="194"/>
      <c r="N97" s="194"/>
      <c r="O97" s="194"/>
      <c r="P97" s="194"/>
      <c r="Q97" s="194"/>
      <c r="R97" s="194"/>
      <c r="S97" s="194"/>
      <c r="T97" s="195"/>
      <c r="Z97" s="19"/>
      <c r="AA97" s="19"/>
      <c r="AB97" s="19"/>
      <c r="AC97" s="19"/>
      <c r="AD97" s="19"/>
      <c r="AE97" s="80"/>
      <c r="AF97" s="19"/>
      <c r="AG97" s="19"/>
      <c r="AH97" s="19"/>
      <c r="AI97" s="19"/>
      <c r="AJ97" s="19"/>
      <c r="AK97" s="15"/>
      <c r="AL97" s="15"/>
      <c r="AM97" s="15"/>
      <c r="AN97" s="15"/>
    </row>
    <row r="98" spans="1:40" ht="18.75" thickTop="1">
      <c r="A98" s="13" t="s">
        <v>120</v>
      </c>
      <c r="B98" s="3" t="s">
        <v>125</v>
      </c>
      <c r="C98" s="4" t="s">
        <v>127</v>
      </c>
      <c r="D98" s="10">
        <v>2200</v>
      </c>
      <c r="E98" s="8"/>
      <c r="G98" s="2"/>
      <c r="I98" s="111" t="s">
        <v>156</v>
      </c>
      <c r="J98" s="112" t="s">
        <v>257</v>
      </c>
      <c r="K98" s="113"/>
      <c r="L98" s="114">
        <v>1</v>
      </c>
      <c r="M98" s="114">
        <v>2</v>
      </c>
      <c r="N98" s="114">
        <v>3</v>
      </c>
      <c r="O98" s="114">
        <v>4</v>
      </c>
      <c r="P98" s="114">
        <v>5</v>
      </c>
      <c r="Q98" s="114">
        <v>6</v>
      </c>
      <c r="R98" s="114">
        <v>7</v>
      </c>
      <c r="S98" s="114">
        <v>8</v>
      </c>
      <c r="T98" s="115">
        <v>9</v>
      </c>
      <c r="Z98" s="19"/>
      <c r="AA98" s="19"/>
      <c r="AB98" s="153">
        <v>1</v>
      </c>
      <c r="AC98" s="154">
        <v>2</v>
      </c>
      <c r="AD98" s="154">
        <v>3</v>
      </c>
      <c r="AE98" s="154">
        <v>4</v>
      </c>
      <c r="AF98" s="154">
        <v>5</v>
      </c>
      <c r="AG98" s="154">
        <v>6</v>
      </c>
      <c r="AH98" s="154">
        <v>7</v>
      </c>
      <c r="AI98" s="154">
        <v>8</v>
      </c>
      <c r="AJ98" s="155">
        <v>9</v>
      </c>
      <c r="AK98" s="152"/>
      <c r="AL98" s="152"/>
      <c r="AM98" s="152"/>
      <c r="AN98" s="152"/>
    </row>
    <row r="99" spans="1:40" ht="18.75" thickBot="1">
      <c r="A99" s="13" t="s">
        <v>120</v>
      </c>
      <c r="B99" s="3" t="s">
        <v>128</v>
      </c>
      <c r="C99" s="4"/>
      <c r="D99" s="10">
        <v>2200</v>
      </c>
      <c r="E99" s="8"/>
      <c r="G99" s="2"/>
      <c r="I99" s="116">
        <v>17.3</v>
      </c>
      <c r="J99" s="117">
        <v>0.187</v>
      </c>
      <c r="K99" s="118">
        <v>5.5</v>
      </c>
      <c r="L99" s="119">
        <v>23.8</v>
      </c>
      <c r="M99" s="119">
        <v>48</v>
      </c>
      <c r="N99" s="119">
        <v>71</v>
      </c>
      <c r="O99" s="119">
        <v>95</v>
      </c>
      <c r="P99" s="119">
        <v>119</v>
      </c>
      <c r="Q99" s="119">
        <v>143</v>
      </c>
      <c r="R99" s="119">
        <v>166</v>
      </c>
      <c r="S99" s="119">
        <v>190</v>
      </c>
      <c r="T99" s="120">
        <v>214</v>
      </c>
      <c r="Y99" s="1">
        <f>Computation!C206</f>
        <v>3</v>
      </c>
      <c r="Z99" s="19"/>
      <c r="AA99" s="19">
        <f>AI94</f>
        <v>3</v>
      </c>
      <c r="AB99" s="84"/>
      <c r="AC99" s="85"/>
      <c r="AD99" s="85"/>
      <c r="AE99" s="85"/>
      <c r="AF99" s="85"/>
      <c r="AG99" s="85"/>
      <c r="AH99" s="85"/>
      <c r="AI99" s="85"/>
      <c r="AJ99" s="86"/>
      <c r="AK99" s="149"/>
      <c r="AL99" s="149"/>
      <c r="AM99" s="149"/>
      <c r="AN99" s="149"/>
    </row>
    <row r="100" spans="1:40" ht="18">
      <c r="A100" s="13" t="s">
        <v>129</v>
      </c>
      <c r="B100" s="3" t="s">
        <v>130</v>
      </c>
      <c r="C100" s="4" t="s">
        <v>131</v>
      </c>
      <c r="D100" s="7"/>
      <c r="E100" s="11">
        <v>40</v>
      </c>
      <c r="G100" s="2"/>
      <c r="I100" s="116">
        <v>18.9</v>
      </c>
      <c r="J100" s="117">
        <v>0.222</v>
      </c>
      <c r="K100" s="118">
        <v>6</v>
      </c>
      <c r="L100" s="119">
        <v>28.3</v>
      </c>
      <c r="M100" s="119">
        <v>57</v>
      </c>
      <c r="N100" s="119">
        <v>85</v>
      </c>
      <c r="O100" s="119">
        <v>113</v>
      </c>
      <c r="P100" s="119">
        <v>141</v>
      </c>
      <c r="Q100" s="119">
        <v>170</v>
      </c>
      <c r="R100" s="119">
        <v>198</v>
      </c>
      <c r="S100" s="119">
        <v>226</v>
      </c>
      <c r="T100" s="120">
        <v>254</v>
      </c>
      <c r="Y100" s="1">
        <f>LOOKUP($Y$99,$L$98:$T$98,L99:T99)</f>
        <v>71</v>
      </c>
      <c r="Z100" s="118">
        <v>5.5</v>
      </c>
      <c r="AA100" s="19">
        <f>LOOKUP($AI$95,$L$98:$T$98,L99:T99)</f>
        <v>23.8</v>
      </c>
      <c r="AB100" s="157">
        <f>IF($AB$98&lt;=$AI$94,IF((L99-$AC$95)&lt;=0," ",(L99-$AC$95))," ")</f>
        <v>21.232025098425197</v>
      </c>
      <c r="AC100" s="158">
        <f>IF($AC$98&lt;=$AI$94,IF((M99-$AC$95)&lt;=0," ",(M99-$AC$95))," ")</f>
        <v>45.4320250984252</v>
      </c>
      <c r="AD100" s="158">
        <f>IF($AD$98&lt;=$AI$94,IF((N99-$AC$95)&lt;=0," ",(N99-$AC$95))," ")</f>
        <v>68.4320250984252</v>
      </c>
      <c r="AE100" s="158" t="str">
        <f>IF($AE$98&lt;=$AI$94,IF((O99-$AC$95)&lt;=0," ",(O99-$AC$95))," ")</f>
        <v> </v>
      </c>
      <c r="AF100" s="158" t="str">
        <f>IF($AF$98&lt;=$AI$94,IF((P99-$AC$95)&lt;=0," ",(P99-$AC$95))," ")</f>
        <v> </v>
      </c>
      <c r="AG100" s="158" t="str">
        <f>IF($AG$98&lt;=$AI$94,IF((Q99-$AC$95)&lt;=0," ",(Q99-$AC$95))," ")</f>
        <v> </v>
      </c>
      <c r="AH100" s="158" t="str">
        <f>IF($AH$98&lt;=$AI$94,IF((R99-$AC$95)&lt;=0," ",(R99-$AC$95))," ")</f>
        <v> </v>
      </c>
      <c r="AI100" s="158" t="str">
        <f>IF($AI$98&lt;=$AI$94,IF((S99-$AC$95)&lt;=0," ",(S99-$AC$95))," ")</f>
        <v> </v>
      </c>
      <c r="AJ100" s="159" t="str">
        <f>IF($AJ$98&lt;=$AI$94,IF((T99-$AC$95)&lt;=0," ",(T99-$AC$95))," ")</f>
        <v> </v>
      </c>
      <c r="AK100" s="150"/>
      <c r="AL100" s="150"/>
      <c r="AM100" s="150"/>
      <c r="AN100" s="150"/>
    </row>
    <row r="101" spans="1:41" ht="18">
      <c r="A101" s="13" t="s">
        <v>129</v>
      </c>
      <c r="B101" s="3" t="s">
        <v>130</v>
      </c>
      <c r="C101" s="4" t="s">
        <v>132</v>
      </c>
      <c r="D101" s="7"/>
      <c r="E101" s="11">
        <v>25</v>
      </c>
      <c r="G101" s="2"/>
      <c r="I101" s="116">
        <v>20.4</v>
      </c>
      <c r="J101" s="117">
        <v>0.26</v>
      </c>
      <c r="K101" s="118">
        <v>6.5</v>
      </c>
      <c r="L101" s="119">
        <v>33.2</v>
      </c>
      <c r="M101" s="119">
        <v>66</v>
      </c>
      <c r="N101" s="119">
        <v>100</v>
      </c>
      <c r="O101" s="119">
        <v>133</v>
      </c>
      <c r="P101" s="119">
        <v>166</v>
      </c>
      <c r="Q101" s="119">
        <v>199</v>
      </c>
      <c r="R101" s="119">
        <v>232</v>
      </c>
      <c r="S101" s="119">
        <v>265</v>
      </c>
      <c r="T101" s="120">
        <v>299</v>
      </c>
      <c r="Y101" s="1">
        <f aca="true" t="shared" si="33" ref="Y101:Y117">LOOKUP($Y$99,$L$98:$T$98,L100:T100)</f>
        <v>85</v>
      </c>
      <c r="Z101" s="118">
        <v>6</v>
      </c>
      <c r="AA101" s="19">
        <f aca="true" t="shared" si="34" ref="AA101:AA117">LOOKUP($AI$95,$L$98:$T$98,L100:T100)</f>
        <v>28.3</v>
      </c>
      <c r="AB101" s="87">
        <f aca="true" t="shared" si="35" ref="AB101:AB117">IF($AB$98&lt;=$AI$94,IF((L100-$AC$95)&lt;=0," ",(L100-$AC$95))," ")</f>
        <v>25.732025098425197</v>
      </c>
      <c r="AC101" s="88">
        <f aca="true" t="shared" si="36" ref="AC101:AC117">IF($AC$98&lt;=$AI$94,IF((M100-$AC$95)&lt;=0," ",(M100-$AC$95))," ")</f>
        <v>54.4320250984252</v>
      </c>
      <c r="AD101" s="88">
        <f aca="true" t="shared" si="37" ref="AD101:AD117">IF($AD$98&lt;=$AI$94,IF((N100-$AC$95)&lt;=0," ",(N100-$AC$95))," ")</f>
        <v>82.4320250984252</v>
      </c>
      <c r="AE101" s="88" t="str">
        <f aca="true" t="shared" si="38" ref="AE101:AE117">IF($AE$98&lt;=$AI$94,IF((O100-$AC$95)&lt;=0," ",(O100-$AC$95))," ")</f>
        <v> </v>
      </c>
      <c r="AF101" s="88" t="str">
        <f aca="true" t="shared" si="39" ref="AF101:AF117">IF($AF$98&lt;=$AI$94,IF((P100-$AC$95)&lt;=0," ",(P100-$AC$95))," ")</f>
        <v> </v>
      </c>
      <c r="AG101" s="88" t="str">
        <f aca="true" t="shared" si="40" ref="AG101:AG117">IF($AG$98&lt;=$AI$94,IF((Q100-$AC$95)&lt;=0," ",(Q100-$AC$95))," ")</f>
        <v> </v>
      </c>
      <c r="AH101" s="88" t="str">
        <f aca="true" t="shared" si="41" ref="AH101:AH117">IF($AH$98&lt;=$AI$94,IF((R100-$AC$95)&lt;=0," ",(R100-$AC$95))," ")</f>
        <v> </v>
      </c>
      <c r="AI101" s="88" t="str">
        <f aca="true" t="shared" si="42" ref="AI101:AI117">IF($AI$98&lt;=$AI$94,IF((S100-$AC$95)&lt;=0," ",(S100-$AC$95))," ")</f>
        <v> </v>
      </c>
      <c r="AJ101" s="89" t="str">
        <f aca="true" t="shared" si="43" ref="AJ101:AJ117">IF($AJ$98&lt;=$AI$94,IF((T100-$AC$95)&lt;=0," ",(T100-$AC$95))," ")</f>
        <v> </v>
      </c>
      <c r="AK101" s="150"/>
      <c r="AL101" s="150"/>
      <c r="AM101" s="150"/>
      <c r="AN101" s="150"/>
      <c r="AO101" s="77"/>
    </row>
    <row r="102" spans="1:41" ht="28.5">
      <c r="A102" s="13" t="s">
        <v>129</v>
      </c>
      <c r="B102" s="3" t="s">
        <v>130</v>
      </c>
      <c r="C102" s="4" t="s">
        <v>133</v>
      </c>
      <c r="D102" s="7"/>
      <c r="E102" s="11">
        <v>30</v>
      </c>
      <c r="G102" s="2"/>
      <c r="I102" s="116">
        <v>22</v>
      </c>
      <c r="J102" s="117">
        <v>0.303</v>
      </c>
      <c r="K102" s="118">
        <v>7</v>
      </c>
      <c r="L102" s="119">
        <v>38.5</v>
      </c>
      <c r="M102" s="119">
        <v>77</v>
      </c>
      <c r="N102" s="119">
        <v>115</v>
      </c>
      <c r="O102" s="119">
        <v>154</v>
      </c>
      <c r="P102" s="119">
        <v>192</v>
      </c>
      <c r="Q102" s="119">
        <v>231</v>
      </c>
      <c r="R102" s="119">
        <v>269</v>
      </c>
      <c r="S102" s="119">
        <v>308</v>
      </c>
      <c r="T102" s="120">
        <v>346</v>
      </c>
      <c r="Y102" s="1">
        <f t="shared" si="33"/>
        <v>100</v>
      </c>
      <c r="Z102" s="118">
        <v>6.5</v>
      </c>
      <c r="AA102" s="19">
        <f t="shared" si="34"/>
        <v>33.2</v>
      </c>
      <c r="AB102" s="87">
        <f t="shared" si="35"/>
        <v>30.6320250984252</v>
      </c>
      <c r="AC102" s="88">
        <f t="shared" si="36"/>
        <v>63.4320250984252</v>
      </c>
      <c r="AD102" s="88">
        <f t="shared" si="37"/>
        <v>97.4320250984252</v>
      </c>
      <c r="AE102" s="88" t="str">
        <f t="shared" si="38"/>
        <v> </v>
      </c>
      <c r="AF102" s="88" t="str">
        <f t="shared" si="39"/>
        <v> </v>
      </c>
      <c r="AG102" s="88" t="str">
        <f t="shared" si="40"/>
        <v> </v>
      </c>
      <c r="AH102" s="88" t="str">
        <f t="shared" si="41"/>
        <v> </v>
      </c>
      <c r="AI102" s="88" t="str">
        <f t="shared" si="42"/>
        <v> </v>
      </c>
      <c r="AJ102" s="89" t="str">
        <f t="shared" si="43"/>
        <v> </v>
      </c>
      <c r="AK102" s="150"/>
      <c r="AL102" s="150"/>
      <c r="AM102" s="150"/>
      <c r="AN102" s="150"/>
      <c r="AO102" s="77"/>
    </row>
    <row r="103" spans="1:41" ht="28.5">
      <c r="A103" s="13" t="s">
        <v>129</v>
      </c>
      <c r="B103" s="3" t="s">
        <v>134</v>
      </c>
      <c r="C103" s="4"/>
      <c r="D103" s="7"/>
      <c r="E103" s="11">
        <v>60</v>
      </c>
      <c r="G103" s="2"/>
      <c r="I103" s="116">
        <v>25.1</v>
      </c>
      <c r="J103" s="117">
        <v>0.395</v>
      </c>
      <c r="K103" s="118">
        <v>8</v>
      </c>
      <c r="L103" s="119">
        <v>50.3</v>
      </c>
      <c r="M103" s="119">
        <v>101</v>
      </c>
      <c r="N103" s="119">
        <v>151</v>
      </c>
      <c r="O103" s="119">
        <v>201</v>
      </c>
      <c r="P103" s="119">
        <v>251</v>
      </c>
      <c r="Q103" s="119">
        <v>302</v>
      </c>
      <c r="R103" s="119">
        <v>352</v>
      </c>
      <c r="S103" s="119">
        <v>402</v>
      </c>
      <c r="T103" s="120">
        <v>452</v>
      </c>
      <c r="Y103" s="1">
        <f t="shared" si="33"/>
        <v>115</v>
      </c>
      <c r="Z103" s="118">
        <v>7</v>
      </c>
      <c r="AA103" s="19">
        <f t="shared" si="34"/>
        <v>38.5</v>
      </c>
      <c r="AB103" s="87">
        <f t="shared" si="35"/>
        <v>35.9320250984252</v>
      </c>
      <c r="AC103" s="88">
        <f t="shared" si="36"/>
        <v>74.4320250984252</v>
      </c>
      <c r="AD103" s="88">
        <f t="shared" si="37"/>
        <v>112.4320250984252</v>
      </c>
      <c r="AE103" s="88" t="str">
        <f t="shared" si="38"/>
        <v> </v>
      </c>
      <c r="AF103" s="88" t="str">
        <f t="shared" si="39"/>
        <v> </v>
      </c>
      <c r="AG103" s="88" t="str">
        <f t="shared" si="40"/>
        <v> </v>
      </c>
      <c r="AH103" s="88" t="str">
        <f t="shared" si="41"/>
        <v> </v>
      </c>
      <c r="AI103" s="88" t="str">
        <f t="shared" si="42"/>
        <v> </v>
      </c>
      <c r="AJ103" s="89" t="str">
        <f t="shared" si="43"/>
        <v> </v>
      </c>
      <c r="AK103" s="150"/>
      <c r="AL103" s="150"/>
      <c r="AM103" s="150"/>
      <c r="AN103" s="150"/>
      <c r="AO103" s="77"/>
    </row>
    <row r="104" spans="1:41" ht="28.5">
      <c r="A104" s="13" t="s">
        <v>129</v>
      </c>
      <c r="B104" s="3" t="s">
        <v>135</v>
      </c>
      <c r="C104" s="4" t="s">
        <v>136</v>
      </c>
      <c r="D104" s="7"/>
      <c r="E104" s="11">
        <v>30</v>
      </c>
      <c r="G104" s="2"/>
      <c r="I104" s="116">
        <v>31.4</v>
      </c>
      <c r="J104" s="117">
        <v>0.617</v>
      </c>
      <c r="K104" s="118">
        <v>10</v>
      </c>
      <c r="L104" s="119">
        <v>78.5</v>
      </c>
      <c r="M104" s="119">
        <v>157</v>
      </c>
      <c r="N104" s="119">
        <v>236</v>
      </c>
      <c r="O104" s="119">
        <v>314</v>
      </c>
      <c r="P104" s="119">
        <v>393</v>
      </c>
      <c r="Q104" s="119">
        <v>471</v>
      </c>
      <c r="R104" s="119">
        <v>550</v>
      </c>
      <c r="S104" s="119">
        <v>628</v>
      </c>
      <c r="T104" s="120">
        <v>707</v>
      </c>
      <c r="Y104" s="1">
        <f t="shared" si="33"/>
        <v>151</v>
      </c>
      <c r="Z104" s="118">
        <v>8</v>
      </c>
      <c r="AA104" s="19">
        <f t="shared" si="34"/>
        <v>50.3</v>
      </c>
      <c r="AB104" s="87">
        <f t="shared" si="35"/>
        <v>47.7320250984252</v>
      </c>
      <c r="AC104" s="88">
        <f t="shared" si="36"/>
        <v>98.4320250984252</v>
      </c>
      <c r="AD104" s="88">
        <f t="shared" si="37"/>
        <v>148.43202509842519</v>
      </c>
      <c r="AE104" s="88" t="str">
        <f t="shared" si="38"/>
        <v> </v>
      </c>
      <c r="AF104" s="88" t="str">
        <f t="shared" si="39"/>
        <v> </v>
      </c>
      <c r="AG104" s="88" t="str">
        <f t="shared" si="40"/>
        <v> </v>
      </c>
      <c r="AH104" s="88" t="str">
        <f t="shared" si="41"/>
        <v> </v>
      </c>
      <c r="AI104" s="88" t="str">
        <f t="shared" si="42"/>
        <v> </v>
      </c>
      <c r="AJ104" s="89" t="str">
        <f t="shared" si="43"/>
        <v> </v>
      </c>
      <c r="AK104" s="150"/>
      <c r="AL104" s="150"/>
      <c r="AM104" s="150"/>
      <c r="AN104" s="150"/>
      <c r="AO104" s="77"/>
    </row>
    <row r="105" spans="1:41" ht="28.5">
      <c r="A105" s="13" t="s">
        <v>129</v>
      </c>
      <c r="B105" s="3" t="s">
        <v>135</v>
      </c>
      <c r="C105" s="4" t="s">
        <v>151</v>
      </c>
      <c r="D105" s="7"/>
      <c r="E105" s="11">
        <v>15</v>
      </c>
      <c r="G105" s="2"/>
      <c r="I105" s="116">
        <v>37.7</v>
      </c>
      <c r="J105" s="117">
        <v>0.888</v>
      </c>
      <c r="K105" s="118">
        <v>12</v>
      </c>
      <c r="L105" s="119">
        <v>113.1</v>
      </c>
      <c r="M105" s="119">
        <v>226</v>
      </c>
      <c r="N105" s="119">
        <v>339</v>
      </c>
      <c r="O105" s="119">
        <v>452</v>
      </c>
      <c r="P105" s="119">
        <v>565</v>
      </c>
      <c r="Q105" s="119">
        <v>679</v>
      </c>
      <c r="R105" s="119">
        <v>792</v>
      </c>
      <c r="S105" s="119">
        <v>905</v>
      </c>
      <c r="T105" s="120">
        <v>1018</v>
      </c>
      <c r="Y105" s="1">
        <f t="shared" si="33"/>
        <v>236</v>
      </c>
      <c r="Z105" s="118">
        <v>10</v>
      </c>
      <c r="AA105" s="19">
        <f t="shared" si="34"/>
        <v>78.5</v>
      </c>
      <c r="AB105" s="87">
        <f t="shared" si="35"/>
        <v>75.9320250984252</v>
      </c>
      <c r="AC105" s="88">
        <f t="shared" si="36"/>
        <v>154.43202509842519</v>
      </c>
      <c r="AD105" s="88">
        <f t="shared" si="37"/>
        <v>233.43202509842519</v>
      </c>
      <c r="AE105" s="88" t="str">
        <f t="shared" si="38"/>
        <v> </v>
      </c>
      <c r="AF105" s="88" t="str">
        <f t="shared" si="39"/>
        <v> </v>
      </c>
      <c r="AG105" s="88" t="str">
        <f t="shared" si="40"/>
        <v> </v>
      </c>
      <c r="AH105" s="88" t="str">
        <f t="shared" si="41"/>
        <v> </v>
      </c>
      <c r="AI105" s="88" t="str">
        <f t="shared" si="42"/>
        <v> </v>
      </c>
      <c r="AJ105" s="89" t="str">
        <f t="shared" si="43"/>
        <v> </v>
      </c>
      <c r="AK105" s="150"/>
      <c r="AL105" s="150"/>
      <c r="AM105" s="150"/>
      <c r="AN105" s="150"/>
      <c r="AO105" s="77"/>
    </row>
    <row r="106" spans="1:41" ht="28.5">
      <c r="A106" s="13" t="s">
        <v>129</v>
      </c>
      <c r="B106" s="3" t="s">
        <v>135</v>
      </c>
      <c r="C106" s="4" t="s">
        <v>137</v>
      </c>
      <c r="D106" s="7"/>
      <c r="E106" s="11">
        <v>35</v>
      </c>
      <c r="G106" s="2"/>
      <c r="I106" s="116">
        <v>44</v>
      </c>
      <c r="J106" s="117">
        <v>1.208</v>
      </c>
      <c r="K106" s="118">
        <v>14</v>
      </c>
      <c r="L106" s="119">
        <v>153.9</v>
      </c>
      <c r="M106" s="119">
        <v>308</v>
      </c>
      <c r="N106" s="119">
        <v>462</v>
      </c>
      <c r="O106" s="119">
        <v>616</v>
      </c>
      <c r="P106" s="119">
        <v>770</v>
      </c>
      <c r="Q106" s="119">
        <v>924</v>
      </c>
      <c r="R106" s="119">
        <v>1078</v>
      </c>
      <c r="S106" s="119">
        <v>1232</v>
      </c>
      <c r="T106" s="120">
        <v>1385</v>
      </c>
      <c r="Y106" s="1">
        <f t="shared" si="33"/>
        <v>339</v>
      </c>
      <c r="Z106" s="118">
        <v>12</v>
      </c>
      <c r="AA106" s="19">
        <f t="shared" si="34"/>
        <v>113.1</v>
      </c>
      <c r="AB106" s="87">
        <f t="shared" si="35"/>
        <v>110.5320250984252</v>
      </c>
      <c r="AC106" s="88">
        <f t="shared" si="36"/>
        <v>223.43202509842519</v>
      </c>
      <c r="AD106" s="88">
        <f t="shared" si="37"/>
        <v>336.4320250984252</v>
      </c>
      <c r="AE106" s="88" t="str">
        <f t="shared" si="38"/>
        <v> </v>
      </c>
      <c r="AF106" s="88" t="str">
        <f t="shared" si="39"/>
        <v> </v>
      </c>
      <c r="AG106" s="88" t="str">
        <f t="shared" si="40"/>
        <v> </v>
      </c>
      <c r="AH106" s="88" t="str">
        <f t="shared" si="41"/>
        <v> </v>
      </c>
      <c r="AI106" s="88" t="str">
        <f t="shared" si="42"/>
        <v> </v>
      </c>
      <c r="AJ106" s="89" t="str">
        <f t="shared" si="43"/>
        <v> </v>
      </c>
      <c r="AK106" s="150"/>
      <c r="AL106" s="150"/>
      <c r="AM106" s="150"/>
      <c r="AN106" s="150"/>
      <c r="AO106" s="77"/>
    </row>
    <row r="107" spans="1:41" ht="28.5">
      <c r="A107" s="13" t="s">
        <v>129</v>
      </c>
      <c r="B107" s="3" t="s">
        <v>135</v>
      </c>
      <c r="C107" s="4" t="s">
        <v>150</v>
      </c>
      <c r="D107" s="7"/>
      <c r="E107" s="11">
        <v>20</v>
      </c>
      <c r="I107" s="116">
        <v>50.3</v>
      </c>
      <c r="J107" s="117">
        <v>1.578</v>
      </c>
      <c r="K107" s="118">
        <v>16</v>
      </c>
      <c r="L107" s="119">
        <v>201.1</v>
      </c>
      <c r="M107" s="119">
        <v>402</v>
      </c>
      <c r="N107" s="119">
        <v>603</v>
      </c>
      <c r="O107" s="119">
        <v>804</v>
      </c>
      <c r="P107" s="119">
        <v>1005</v>
      </c>
      <c r="Q107" s="119">
        <v>1206</v>
      </c>
      <c r="R107" s="119">
        <v>1407</v>
      </c>
      <c r="S107" s="119">
        <v>1608</v>
      </c>
      <c r="T107" s="120">
        <v>1810</v>
      </c>
      <c r="Y107" s="1">
        <f t="shared" si="33"/>
        <v>462</v>
      </c>
      <c r="Z107" s="118">
        <v>14</v>
      </c>
      <c r="AA107" s="19">
        <f t="shared" si="34"/>
        <v>153.9</v>
      </c>
      <c r="AB107" s="87">
        <f t="shared" si="35"/>
        <v>151.3320250984252</v>
      </c>
      <c r="AC107" s="88">
        <f t="shared" si="36"/>
        <v>305.4320250984252</v>
      </c>
      <c r="AD107" s="88">
        <f t="shared" si="37"/>
        <v>459.4320250984252</v>
      </c>
      <c r="AE107" s="88" t="str">
        <f t="shared" si="38"/>
        <v> </v>
      </c>
      <c r="AF107" s="88" t="str">
        <f t="shared" si="39"/>
        <v> </v>
      </c>
      <c r="AG107" s="88" t="str">
        <f t="shared" si="40"/>
        <v> </v>
      </c>
      <c r="AH107" s="88" t="str">
        <f t="shared" si="41"/>
        <v> </v>
      </c>
      <c r="AI107" s="88" t="str">
        <f t="shared" si="42"/>
        <v> </v>
      </c>
      <c r="AJ107" s="89" t="str">
        <f t="shared" si="43"/>
        <v> </v>
      </c>
      <c r="AK107" s="150"/>
      <c r="AL107" s="150"/>
      <c r="AM107" s="150"/>
      <c r="AN107" s="150"/>
      <c r="AO107" s="77"/>
    </row>
    <row r="108" spans="1:41" ht="28.5">
      <c r="A108" s="13" t="s">
        <v>129</v>
      </c>
      <c r="B108" s="3" t="s">
        <v>143</v>
      </c>
      <c r="C108" s="4" t="s">
        <v>144</v>
      </c>
      <c r="D108" s="7"/>
      <c r="E108" s="11">
        <v>30</v>
      </c>
      <c r="I108" s="116">
        <v>56.6</v>
      </c>
      <c r="J108" s="117">
        <v>1.998</v>
      </c>
      <c r="K108" s="118">
        <v>18</v>
      </c>
      <c r="L108" s="119">
        <v>254.5</v>
      </c>
      <c r="M108" s="119">
        <v>509</v>
      </c>
      <c r="N108" s="119">
        <v>763</v>
      </c>
      <c r="O108" s="119">
        <v>1018</v>
      </c>
      <c r="P108" s="119">
        <v>1272</v>
      </c>
      <c r="Q108" s="119">
        <v>1527</v>
      </c>
      <c r="R108" s="119">
        <v>1781</v>
      </c>
      <c r="S108" s="119">
        <v>2036</v>
      </c>
      <c r="T108" s="120">
        <v>2290</v>
      </c>
      <c r="Y108" s="1">
        <f t="shared" si="33"/>
        <v>603</v>
      </c>
      <c r="Z108" s="118">
        <v>16</v>
      </c>
      <c r="AA108" s="19">
        <f t="shared" si="34"/>
        <v>201.1</v>
      </c>
      <c r="AB108" s="87">
        <f t="shared" si="35"/>
        <v>198.53202509842518</v>
      </c>
      <c r="AC108" s="88">
        <f t="shared" si="36"/>
        <v>399.4320250984252</v>
      </c>
      <c r="AD108" s="88">
        <f t="shared" si="37"/>
        <v>600.4320250984252</v>
      </c>
      <c r="AE108" s="88" t="str">
        <f t="shared" si="38"/>
        <v> </v>
      </c>
      <c r="AF108" s="88" t="str">
        <f t="shared" si="39"/>
        <v> </v>
      </c>
      <c r="AG108" s="88" t="str">
        <f t="shared" si="40"/>
        <v> </v>
      </c>
      <c r="AH108" s="88" t="str">
        <f t="shared" si="41"/>
        <v> </v>
      </c>
      <c r="AI108" s="88" t="str">
        <f t="shared" si="42"/>
        <v> </v>
      </c>
      <c r="AJ108" s="89" t="str">
        <f t="shared" si="43"/>
        <v> </v>
      </c>
      <c r="AK108" s="150"/>
      <c r="AL108" s="150"/>
      <c r="AM108" s="150"/>
      <c r="AN108" s="150"/>
      <c r="AO108" s="77"/>
    </row>
    <row r="109" spans="1:41" ht="28.5">
      <c r="A109" s="13" t="s">
        <v>129</v>
      </c>
      <c r="B109" s="3" t="s">
        <v>143</v>
      </c>
      <c r="C109" s="4" t="s">
        <v>138</v>
      </c>
      <c r="D109" s="7"/>
      <c r="E109" s="11">
        <v>20</v>
      </c>
      <c r="I109" s="116">
        <v>62.8</v>
      </c>
      <c r="J109" s="117">
        <v>2.466</v>
      </c>
      <c r="K109" s="118">
        <v>20</v>
      </c>
      <c r="L109" s="119">
        <v>314.2</v>
      </c>
      <c r="M109" s="119">
        <v>628</v>
      </c>
      <c r="N109" s="119">
        <v>942</v>
      </c>
      <c r="O109" s="119">
        <v>1257</v>
      </c>
      <c r="P109" s="119">
        <v>1571</v>
      </c>
      <c r="Q109" s="119">
        <v>1885</v>
      </c>
      <c r="R109" s="119">
        <v>2199</v>
      </c>
      <c r="S109" s="119">
        <v>2513</v>
      </c>
      <c r="T109" s="120">
        <v>2827</v>
      </c>
      <c r="Y109" s="1">
        <f t="shared" si="33"/>
        <v>763</v>
      </c>
      <c r="Z109" s="118">
        <v>18</v>
      </c>
      <c r="AA109" s="19">
        <f t="shared" si="34"/>
        <v>254.5</v>
      </c>
      <c r="AB109" s="87">
        <f t="shared" si="35"/>
        <v>251.93202509842519</v>
      </c>
      <c r="AC109" s="88">
        <f t="shared" si="36"/>
        <v>506.4320250984252</v>
      </c>
      <c r="AD109" s="88">
        <f t="shared" si="37"/>
        <v>760.4320250984252</v>
      </c>
      <c r="AE109" s="88" t="str">
        <f t="shared" si="38"/>
        <v> </v>
      </c>
      <c r="AF109" s="88" t="str">
        <f t="shared" si="39"/>
        <v> </v>
      </c>
      <c r="AG109" s="88" t="str">
        <f t="shared" si="40"/>
        <v> </v>
      </c>
      <c r="AH109" s="88" t="str">
        <f t="shared" si="41"/>
        <v> </v>
      </c>
      <c r="AI109" s="88" t="str">
        <f t="shared" si="42"/>
        <v> </v>
      </c>
      <c r="AJ109" s="89" t="str">
        <f t="shared" si="43"/>
        <v> </v>
      </c>
      <c r="AK109" s="150"/>
      <c r="AL109" s="150"/>
      <c r="AM109" s="150"/>
      <c r="AN109" s="150"/>
      <c r="AO109" s="77"/>
    </row>
    <row r="110" spans="1:41" ht="28.5">
      <c r="A110" s="13" t="s">
        <v>129</v>
      </c>
      <c r="B110" s="3" t="s">
        <v>145</v>
      </c>
      <c r="C110" s="4" t="s">
        <v>146</v>
      </c>
      <c r="D110" s="7"/>
      <c r="E110" s="11">
        <v>35</v>
      </c>
      <c r="I110" s="116">
        <v>69.1</v>
      </c>
      <c r="J110" s="117">
        <v>2.984</v>
      </c>
      <c r="K110" s="118">
        <v>22</v>
      </c>
      <c r="L110" s="119">
        <v>380.1</v>
      </c>
      <c r="M110" s="119">
        <v>760</v>
      </c>
      <c r="N110" s="119">
        <v>1140</v>
      </c>
      <c r="O110" s="119">
        <v>1521</v>
      </c>
      <c r="P110" s="119">
        <v>1901</v>
      </c>
      <c r="Q110" s="119">
        <v>2281</v>
      </c>
      <c r="R110" s="119">
        <v>2661</v>
      </c>
      <c r="S110" s="119">
        <v>3041</v>
      </c>
      <c r="T110" s="120">
        <v>3421</v>
      </c>
      <c r="Y110" s="1">
        <f t="shared" si="33"/>
        <v>942</v>
      </c>
      <c r="Z110" s="118">
        <v>20</v>
      </c>
      <c r="AA110" s="19">
        <f t="shared" si="34"/>
        <v>314.2</v>
      </c>
      <c r="AB110" s="87">
        <f t="shared" si="35"/>
        <v>311.6320250984252</v>
      </c>
      <c r="AC110" s="88">
        <f t="shared" si="36"/>
        <v>625.4320250984252</v>
      </c>
      <c r="AD110" s="88">
        <f t="shared" si="37"/>
        <v>939.4320250984252</v>
      </c>
      <c r="AE110" s="88" t="str">
        <f t="shared" si="38"/>
        <v> </v>
      </c>
      <c r="AF110" s="88" t="str">
        <f t="shared" si="39"/>
        <v> </v>
      </c>
      <c r="AG110" s="88" t="str">
        <f t="shared" si="40"/>
        <v> </v>
      </c>
      <c r="AH110" s="88" t="str">
        <f t="shared" si="41"/>
        <v> </v>
      </c>
      <c r="AI110" s="88" t="str">
        <f t="shared" si="42"/>
        <v> </v>
      </c>
      <c r="AJ110" s="89" t="str">
        <f t="shared" si="43"/>
        <v> </v>
      </c>
      <c r="AK110" s="150"/>
      <c r="AL110" s="150"/>
      <c r="AM110" s="150"/>
      <c r="AN110" s="150"/>
      <c r="AO110" s="77"/>
    </row>
    <row r="111" spans="1:41" ht="28.5">
      <c r="A111" s="13" t="s">
        <v>129</v>
      </c>
      <c r="B111" s="3" t="s">
        <v>145</v>
      </c>
      <c r="C111" s="4" t="s">
        <v>152</v>
      </c>
      <c r="D111" s="7"/>
      <c r="E111" s="11">
        <v>20</v>
      </c>
      <c r="I111" s="116">
        <v>78.5</v>
      </c>
      <c r="J111" s="117">
        <v>3.853</v>
      </c>
      <c r="K111" s="118">
        <v>25</v>
      </c>
      <c r="L111" s="119">
        <v>490.9</v>
      </c>
      <c r="M111" s="119">
        <v>982</v>
      </c>
      <c r="N111" s="119">
        <v>1473</v>
      </c>
      <c r="O111" s="119">
        <v>1963</v>
      </c>
      <c r="P111" s="119">
        <v>2454</v>
      </c>
      <c r="Q111" s="119">
        <v>2945</v>
      </c>
      <c r="R111" s="119">
        <v>3436</v>
      </c>
      <c r="S111" s="119">
        <v>3927</v>
      </c>
      <c r="T111" s="120">
        <v>4418</v>
      </c>
      <c r="Y111" s="1">
        <f t="shared" si="33"/>
        <v>1140</v>
      </c>
      <c r="Z111" s="118">
        <v>22</v>
      </c>
      <c r="AA111" s="19">
        <f t="shared" si="34"/>
        <v>380.1</v>
      </c>
      <c r="AB111" s="87">
        <f t="shared" si="35"/>
        <v>377.5320250984252</v>
      </c>
      <c r="AC111" s="88">
        <f t="shared" si="36"/>
        <v>757.4320250984252</v>
      </c>
      <c r="AD111" s="88">
        <f t="shared" si="37"/>
        <v>1137.4320250984251</v>
      </c>
      <c r="AE111" s="88" t="str">
        <f t="shared" si="38"/>
        <v> </v>
      </c>
      <c r="AF111" s="88" t="str">
        <f t="shared" si="39"/>
        <v> </v>
      </c>
      <c r="AG111" s="88" t="str">
        <f t="shared" si="40"/>
        <v> </v>
      </c>
      <c r="AH111" s="88" t="str">
        <f t="shared" si="41"/>
        <v> </v>
      </c>
      <c r="AI111" s="88" t="str">
        <f t="shared" si="42"/>
        <v> </v>
      </c>
      <c r="AJ111" s="89" t="str">
        <f t="shared" si="43"/>
        <v> </v>
      </c>
      <c r="AK111" s="150"/>
      <c r="AL111" s="150"/>
      <c r="AM111" s="150"/>
      <c r="AN111" s="150"/>
      <c r="AO111" s="77"/>
    </row>
    <row r="112" spans="1:41" ht="18">
      <c r="A112" s="13" t="s">
        <v>129</v>
      </c>
      <c r="B112" s="3" t="s">
        <v>139</v>
      </c>
      <c r="C112" s="4"/>
      <c r="D112" s="7"/>
      <c r="E112" s="11">
        <v>50</v>
      </c>
      <c r="I112" s="116">
        <v>88</v>
      </c>
      <c r="J112" s="117">
        <v>4.834</v>
      </c>
      <c r="K112" s="118">
        <v>28</v>
      </c>
      <c r="L112" s="119">
        <v>615.8</v>
      </c>
      <c r="M112" s="119">
        <v>1232</v>
      </c>
      <c r="N112" s="119">
        <v>1847</v>
      </c>
      <c r="O112" s="119">
        <v>2463</v>
      </c>
      <c r="P112" s="119">
        <v>3079</v>
      </c>
      <c r="Q112" s="119">
        <v>3695</v>
      </c>
      <c r="R112" s="119">
        <v>4310</v>
      </c>
      <c r="S112" s="119">
        <v>4926</v>
      </c>
      <c r="T112" s="120">
        <v>5542</v>
      </c>
      <c r="Y112" s="1">
        <f t="shared" si="33"/>
        <v>1473</v>
      </c>
      <c r="Z112" s="118">
        <v>25</v>
      </c>
      <c r="AA112" s="19">
        <f t="shared" si="34"/>
        <v>490.9</v>
      </c>
      <c r="AB112" s="87">
        <f t="shared" si="35"/>
        <v>488.33202509842516</v>
      </c>
      <c r="AC112" s="88">
        <f t="shared" si="36"/>
        <v>979.4320250984252</v>
      </c>
      <c r="AD112" s="88">
        <f t="shared" si="37"/>
        <v>1470.4320250984251</v>
      </c>
      <c r="AE112" s="88" t="str">
        <f t="shared" si="38"/>
        <v> </v>
      </c>
      <c r="AF112" s="88" t="str">
        <f t="shared" si="39"/>
        <v> </v>
      </c>
      <c r="AG112" s="88" t="str">
        <f t="shared" si="40"/>
        <v> </v>
      </c>
      <c r="AH112" s="88" t="str">
        <f t="shared" si="41"/>
        <v> </v>
      </c>
      <c r="AI112" s="88" t="str">
        <f t="shared" si="42"/>
        <v> </v>
      </c>
      <c r="AJ112" s="89" t="str">
        <f t="shared" si="43"/>
        <v> </v>
      </c>
      <c r="AK112" s="150"/>
      <c r="AL112" s="150"/>
      <c r="AM112" s="150"/>
      <c r="AN112" s="150"/>
      <c r="AO112" s="77"/>
    </row>
    <row r="113" spans="1:41" ht="42.75">
      <c r="A113" s="13" t="s">
        <v>129</v>
      </c>
      <c r="B113" s="3" t="s">
        <v>140</v>
      </c>
      <c r="C113" s="4"/>
      <c r="D113" s="7"/>
      <c r="E113" s="11">
        <v>55</v>
      </c>
      <c r="I113" s="116">
        <v>100.5</v>
      </c>
      <c r="J113" s="117">
        <v>6.313</v>
      </c>
      <c r="K113" s="118">
        <v>32</v>
      </c>
      <c r="L113" s="119">
        <v>804.2</v>
      </c>
      <c r="M113" s="119">
        <v>1608</v>
      </c>
      <c r="N113" s="119">
        <v>2413</v>
      </c>
      <c r="O113" s="119">
        <v>3217</v>
      </c>
      <c r="P113" s="119">
        <v>4021</v>
      </c>
      <c r="Q113" s="119">
        <v>4825</v>
      </c>
      <c r="R113" s="119">
        <v>5630</v>
      </c>
      <c r="S113" s="119">
        <v>6434</v>
      </c>
      <c r="T113" s="120">
        <v>7238</v>
      </c>
      <c r="Y113" s="1">
        <f t="shared" si="33"/>
        <v>1847</v>
      </c>
      <c r="Z113" s="118">
        <v>28</v>
      </c>
      <c r="AA113" s="19">
        <f t="shared" si="34"/>
        <v>615.8</v>
      </c>
      <c r="AB113" s="87">
        <f t="shared" si="35"/>
        <v>613.2320250984252</v>
      </c>
      <c r="AC113" s="88">
        <f t="shared" si="36"/>
        <v>1229.4320250984251</v>
      </c>
      <c r="AD113" s="88">
        <f t="shared" si="37"/>
        <v>1844.4320250984251</v>
      </c>
      <c r="AE113" s="88" t="str">
        <f t="shared" si="38"/>
        <v> </v>
      </c>
      <c r="AF113" s="88" t="str">
        <f t="shared" si="39"/>
        <v> </v>
      </c>
      <c r="AG113" s="88" t="str">
        <f t="shared" si="40"/>
        <v> </v>
      </c>
      <c r="AH113" s="88" t="str">
        <f t="shared" si="41"/>
        <v> </v>
      </c>
      <c r="AI113" s="88" t="str">
        <f t="shared" si="42"/>
        <v> </v>
      </c>
      <c r="AJ113" s="89" t="str">
        <f t="shared" si="43"/>
        <v> </v>
      </c>
      <c r="AK113" s="150"/>
      <c r="AL113" s="150"/>
      <c r="AM113" s="150"/>
      <c r="AN113" s="150"/>
      <c r="AO113" s="77"/>
    </row>
    <row r="114" spans="1:41" ht="18">
      <c r="A114" s="13" t="s">
        <v>129</v>
      </c>
      <c r="B114" s="3" t="s">
        <v>147</v>
      </c>
      <c r="C114" s="4" t="s">
        <v>132</v>
      </c>
      <c r="D114" s="7"/>
      <c r="E114" s="11">
        <v>75</v>
      </c>
      <c r="I114" s="116">
        <v>113.1</v>
      </c>
      <c r="J114" s="117">
        <v>7.99</v>
      </c>
      <c r="K114" s="118">
        <v>36</v>
      </c>
      <c r="L114" s="119">
        <v>1017.9</v>
      </c>
      <c r="M114" s="119">
        <v>2036</v>
      </c>
      <c r="N114" s="119">
        <v>3054</v>
      </c>
      <c r="O114" s="119">
        <v>4072</v>
      </c>
      <c r="P114" s="119">
        <v>5089</v>
      </c>
      <c r="Q114" s="119">
        <v>6107</v>
      </c>
      <c r="R114" s="119">
        <v>7125</v>
      </c>
      <c r="S114" s="119">
        <v>8143</v>
      </c>
      <c r="T114" s="120">
        <v>9161</v>
      </c>
      <c r="Y114" s="1">
        <f t="shared" si="33"/>
        <v>2413</v>
      </c>
      <c r="Z114" s="118">
        <v>32</v>
      </c>
      <c r="AA114" s="19">
        <f t="shared" si="34"/>
        <v>804.2</v>
      </c>
      <c r="AB114" s="87">
        <f t="shared" si="35"/>
        <v>801.6320250984253</v>
      </c>
      <c r="AC114" s="88">
        <f t="shared" si="36"/>
        <v>1605.4320250984251</v>
      </c>
      <c r="AD114" s="88">
        <f t="shared" si="37"/>
        <v>2410.432025098425</v>
      </c>
      <c r="AE114" s="88" t="str">
        <f t="shared" si="38"/>
        <v> </v>
      </c>
      <c r="AF114" s="88" t="str">
        <f t="shared" si="39"/>
        <v> </v>
      </c>
      <c r="AG114" s="88" t="str">
        <f t="shared" si="40"/>
        <v> </v>
      </c>
      <c r="AH114" s="88" t="str">
        <f t="shared" si="41"/>
        <v> </v>
      </c>
      <c r="AI114" s="88" t="str">
        <f t="shared" si="42"/>
        <v> </v>
      </c>
      <c r="AJ114" s="89" t="str">
        <f t="shared" si="43"/>
        <v> </v>
      </c>
      <c r="AK114" s="150"/>
      <c r="AL114" s="150"/>
      <c r="AM114" s="150"/>
      <c r="AN114" s="150"/>
      <c r="AO114" s="77"/>
    </row>
    <row r="115" spans="1:41" ht="18">
      <c r="A115" s="13" t="s">
        <v>129</v>
      </c>
      <c r="B115" s="3" t="s">
        <v>147</v>
      </c>
      <c r="C115" s="4" t="s">
        <v>141</v>
      </c>
      <c r="D115" s="7"/>
      <c r="E115" s="11">
        <v>85</v>
      </c>
      <c r="I115" s="116">
        <v>122.5</v>
      </c>
      <c r="J115" s="117">
        <v>9.378</v>
      </c>
      <c r="K115" s="118">
        <v>39</v>
      </c>
      <c r="L115" s="119">
        <v>1194.6</v>
      </c>
      <c r="M115" s="119">
        <v>2389</v>
      </c>
      <c r="N115" s="119">
        <v>3584</v>
      </c>
      <c r="O115" s="119">
        <v>4778</v>
      </c>
      <c r="P115" s="119">
        <v>5973</v>
      </c>
      <c r="Q115" s="119">
        <v>7168</v>
      </c>
      <c r="R115" s="119">
        <v>8362</v>
      </c>
      <c r="S115" s="119">
        <v>9557</v>
      </c>
      <c r="T115" s="120">
        <v>10751</v>
      </c>
      <c r="Y115" s="1">
        <f t="shared" si="33"/>
        <v>3054</v>
      </c>
      <c r="Z115" s="118">
        <v>36</v>
      </c>
      <c r="AA115" s="19">
        <f t="shared" si="34"/>
        <v>1017.9</v>
      </c>
      <c r="AB115" s="87">
        <f t="shared" si="35"/>
        <v>1015.3320250984252</v>
      </c>
      <c r="AC115" s="88">
        <f t="shared" si="36"/>
        <v>2033.4320250984251</v>
      </c>
      <c r="AD115" s="88">
        <f t="shared" si="37"/>
        <v>3051.432025098425</v>
      </c>
      <c r="AE115" s="88" t="str">
        <f t="shared" si="38"/>
        <v> </v>
      </c>
      <c r="AF115" s="88" t="str">
        <f t="shared" si="39"/>
        <v> </v>
      </c>
      <c r="AG115" s="88" t="str">
        <f t="shared" si="40"/>
        <v> </v>
      </c>
      <c r="AH115" s="88" t="str">
        <f t="shared" si="41"/>
        <v> </v>
      </c>
      <c r="AI115" s="88" t="str">
        <f t="shared" si="42"/>
        <v> </v>
      </c>
      <c r="AJ115" s="89" t="str">
        <f t="shared" si="43"/>
        <v> </v>
      </c>
      <c r="AK115" s="150"/>
      <c r="AL115" s="150"/>
      <c r="AM115" s="150"/>
      <c r="AN115" s="150"/>
      <c r="AO115" s="77"/>
    </row>
    <row r="116" spans="1:41" ht="29.25" thickBot="1">
      <c r="A116" s="13" t="s">
        <v>129</v>
      </c>
      <c r="B116" s="5" t="s">
        <v>142</v>
      </c>
      <c r="C116" s="6"/>
      <c r="D116" s="9"/>
      <c r="E116" s="12">
        <v>100</v>
      </c>
      <c r="I116" s="121">
        <v>157.1</v>
      </c>
      <c r="J116" s="122">
        <v>15.413</v>
      </c>
      <c r="K116" s="123">
        <v>50</v>
      </c>
      <c r="L116" s="124">
        <v>1963.5</v>
      </c>
      <c r="M116" s="124">
        <v>3927</v>
      </c>
      <c r="N116" s="124">
        <v>5890</v>
      </c>
      <c r="O116" s="124">
        <v>7854</v>
      </c>
      <c r="P116" s="124">
        <v>9817</v>
      </c>
      <c r="Q116" s="124">
        <v>11781</v>
      </c>
      <c r="R116" s="124">
        <v>13744</v>
      </c>
      <c r="S116" s="124">
        <v>15708</v>
      </c>
      <c r="T116" s="125">
        <v>17671</v>
      </c>
      <c r="Y116" s="1">
        <f t="shared" si="33"/>
        <v>3584</v>
      </c>
      <c r="Z116" s="118">
        <v>39</v>
      </c>
      <c r="AA116" s="19">
        <f t="shared" si="34"/>
        <v>1194.6</v>
      </c>
      <c r="AB116" s="87">
        <f t="shared" si="35"/>
        <v>1192.032025098425</v>
      </c>
      <c r="AC116" s="88">
        <f t="shared" si="36"/>
        <v>2386.432025098425</v>
      </c>
      <c r="AD116" s="88">
        <f t="shared" si="37"/>
        <v>3581.432025098425</v>
      </c>
      <c r="AE116" s="88" t="str">
        <f t="shared" si="38"/>
        <v> </v>
      </c>
      <c r="AF116" s="88" t="str">
        <f t="shared" si="39"/>
        <v> </v>
      </c>
      <c r="AG116" s="88" t="str">
        <f t="shared" si="40"/>
        <v> </v>
      </c>
      <c r="AH116" s="88" t="str">
        <f t="shared" si="41"/>
        <v> </v>
      </c>
      <c r="AI116" s="88" t="str">
        <f t="shared" si="42"/>
        <v> </v>
      </c>
      <c r="AJ116" s="89" t="str">
        <f t="shared" si="43"/>
        <v> </v>
      </c>
      <c r="AK116" s="150"/>
      <c r="AL116" s="150"/>
      <c r="AM116" s="150"/>
      <c r="AN116" s="150"/>
      <c r="AO116" s="77"/>
    </row>
    <row r="117" spans="4:41" ht="18.75" thickBot="1">
      <c r="D117" s="1" t="s">
        <v>155</v>
      </c>
      <c r="E117" s="1" t="s">
        <v>154</v>
      </c>
      <c r="Y117" s="1">
        <f t="shared" si="33"/>
        <v>5890</v>
      </c>
      <c r="Z117" s="123">
        <v>50</v>
      </c>
      <c r="AA117" s="19">
        <f t="shared" si="34"/>
        <v>1963.5</v>
      </c>
      <c r="AB117" s="90">
        <f t="shared" si="35"/>
        <v>1960.9320250984251</v>
      </c>
      <c r="AC117" s="91">
        <f t="shared" si="36"/>
        <v>3924.432025098425</v>
      </c>
      <c r="AD117" s="91">
        <f t="shared" si="37"/>
        <v>5887.432025098426</v>
      </c>
      <c r="AE117" s="91" t="str">
        <f t="shared" si="38"/>
        <v> </v>
      </c>
      <c r="AF117" s="91" t="str">
        <f t="shared" si="39"/>
        <v> </v>
      </c>
      <c r="AG117" s="91" t="str">
        <f t="shared" si="40"/>
        <v> </v>
      </c>
      <c r="AH117" s="91" t="str">
        <f t="shared" si="41"/>
        <v> </v>
      </c>
      <c r="AI117" s="91" t="str">
        <f t="shared" si="42"/>
        <v> </v>
      </c>
      <c r="AJ117" s="92" t="str">
        <f t="shared" si="43"/>
        <v> </v>
      </c>
      <c r="AK117" s="150"/>
      <c r="AL117" s="150"/>
      <c r="AM117" s="150"/>
      <c r="AN117" s="150"/>
      <c r="AO117" s="77"/>
    </row>
    <row r="118" spans="26:41" ht="14.25">
      <c r="Z118" s="79"/>
      <c r="AA118" s="79"/>
      <c r="AB118" s="88">
        <f aca="true" t="shared" si="44" ref="AB118:AJ118">IF(MIN(AB100:AB117)&lt;=0," ",MIN(AB100:AB117))</f>
        <v>21.232025098425197</v>
      </c>
      <c r="AC118" s="88">
        <f t="shared" si="44"/>
        <v>45.4320250984252</v>
      </c>
      <c r="AD118" s="88">
        <f t="shared" si="44"/>
        <v>68.4320250984252</v>
      </c>
      <c r="AE118" s="88" t="str">
        <f t="shared" si="44"/>
        <v> </v>
      </c>
      <c r="AF118" s="88" t="str">
        <f t="shared" si="44"/>
        <v> </v>
      </c>
      <c r="AG118" s="88" t="str">
        <f t="shared" si="44"/>
        <v> </v>
      </c>
      <c r="AH118" s="88" t="str">
        <f t="shared" si="44"/>
        <v> </v>
      </c>
      <c r="AI118" s="88" t="str">
        <f t="shared" si="44"/>
        <v> </v>
      </c>
      <c r="AJ118" s="88" t="str">
        <f t="shared" si="44"/>
        <v> </v>
      </c>
      <c r="AK118" s="151"/>
      <c r="AL118" s="151"/>
      <c r="AM118" s="151"/>
      <c r="AN118" s="151"/>
      <c r="AO118" s="77"/>
    </row>
    <row r="119" spans="26:41" ht="15" thickBot="1">
      <c r="Z119" s="79"/>
      <c r="AA119" s="79"/>
      <c r="AB119" s="19">
        <v>1</v>
      </c>
      <c r="AC119" s="19">
        <v>2</v>
      </c>
      <c r="AD119" s="19">
        <v>3</v>
      </c>
      <c r="AE119" s="19">
        <v>4</v>
      </c>
      <c r="AF119" s="19">
        <v>5</v>
      </c>
      <c r="AG119" s="19">
        <v>6</v>
      </c>
      <c r="AH119" s="19">
        <v>7</v>
      </c>
      <c r="AI119" s="19">
        <v>8</v>
      </c>
      <c r="AJ119" s="19">
        <v>9</v>
      </c>
      <c r="AK119" s="15"/>
      <c r="AL119" s="15"/>
      <c r="AM119" s="15"/>
      <c r="AN119" s="15"/>
      <c r="AO119" s="77"/>
    </row>
    <row r="120" spans="9:41" ht="15">
      <c r="I120" s="167" t="s">
        <v>490</v>
      </c>
      <c r="J120" s="160"/>
      <c r="K120" s="161" t="s">
        <v>273</v>
      </c>
      <c r="L120" s="162" t="s">
        <v>274</v>
      </c>
      <c r="AO120" s="77"/>
    </row>
    <row r="121" spans="9:12" ht="14.25">
      <c r="I121" s="76">
        <v>1</v>
      </c>
      <c r="J121" s="177" t="s">
        <v>439</v>
      </c>
      <c r="K121" s="163">
        <v>0.25</v>
      </c>
      <c r="L121" s="16">
        <v>0.5</v>
      </c>
    </row>
    <row r="122" spans="9:12" ht="14.25">
      <c r="I122" s="76">
        <v>2</v>
      </c>
      <c r="J122" s="177" t="s">
        <v>440</v>
      </c>
      <c r="K122" s="163">
        <v>0.35</v>
      </c>
      <c r="L122" s="16">
        <v>0.6</v>
      </c>
    </row>
    <row r="123" spans="9:39" ht="19.5">
      <c r="I123" s="76">
        <v>3</v>
      </c>
      <c r="J123" s="176" t="s">
        <v>441</v>
      </c>
      <c r="K123" s="163">
        <v>0.45</v>
      </c>
      <c r="L123" s="16">
        <v>0.7</v>
      </c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110"/>
    </row>
    <row r="124" spans="9:12" ht="15" thickBot="1">
      <c r="I124" s="164">
        <v>4</v>
      </c>
      <c r="J124" s="185" t="s">
        <v>491</v>
      </c>
      <c r="K124" s="165">
        <v>0.5</v>
      </c>
      <c r="L124" s="166">
        <v>0.9</v>
      </c>
    </row>
  </sheetData>
  <sheetProtection password="DF81" sheet="1"/>
  <mergeCells count="19">
    <mergeCell ref="L96:T96"/>
    <mergeCell ref="J1:Q1"/>
    <mergeCell ref="J14:X15"/>
    <mergeCell ref="K16:W16"/>
    <mergeCell ref="L83:M83"/>
    <mergeCell ref="N83:O83"/>
    <mergeCell ref="P83:Q83"/>
    <mergeCell ref="J55:K55"/>
    <mergeCell ref="J73:K73"/>
    <mergeCell ref="L97:T97"/>
    <mergeCell ref="Z90:AJ90"/>
    <mergeCell ref="AI1:AJ1"/>
    <mergeCell ref="Y10:AM10"/>
    <mergeCell ref="AR10:BF10"/>
    <mergeCell ref="I94:T95"/>
    <mergeCell ref="I96:I97"/>
    <mergeCell ref="J96:J97"/>
    <mergeCell ref="K96:K97"/>
    <mergeCell ref="AN17:AQ17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 stavební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Josef Fládr</cp:lastModifiedBy>
  <cp:lastPrinted>2012-11-12T09:41:34Z</cp:lastPrinted>
  <dcterms:created xsi:type="dcterms:W3CDTF">2008-02-02T11:14:33Z</dcterms:created>
  <dcterms:modified xsi:type="dcterms:W3CDTF">2012-12-06T22:06:29Z</dcterms:modified>
  <cp:category/>
  <cp:version/>
  <cp:contentType/>
  <cp:contentStatus/>
</cp:coreProperties>
</file>