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18780" windowHeight="6090" activeTab="0"/>
  </bookViews>
  <sheets>
    <sheet name="&gt;&gt;&gt; Výpočet &lt;&lt;&lt;" sheetId="1" r:id="rId1"/>
    <sheet name="Cihly HELUZ" sheetId="2" r:id="rId2"/>
    <sheet name="Malty HELUZ" sheetId="3" r:id="rId3"/>
    <sheet name="Zdivo HELUZ" sheetId="4" r:id="rId4"/>
    <sheet name="Součinitele" sheetId="5" r:id="rId5"/>
    <sheet name="O programu" sheetId="6" r:id="rId6"/>
  </sheets>
  <definedNames>
    <definedName name="_xlnm.Print_Area" localSheetId="0">'&gt;&gt;&gt; Výpočet &lt;&lt;&lt;'!$B$2:$T$177</definedName>
    <definedName name="_xlnm.Print_Area" localSheetId="1">'Cihly HELUZ'!$B$2:$K$65</definedName>
    <definedName name="_xlnm.Print_Area" localSheetId="2">'Malty HELUZ'!$B$2:$G$10</definedName>
    <definedName name="_xlnm.Print_Area" localSheetId="5">'O programu'!$B$2:$C$20</definedName>
    <definedName name="_xlnm.Print_Area" localSheetId="4">'Součinitele'!$B$2:$F$17</definedName>
    <definedName name="_xlnm.Print_Area" localSheetId="3">'Zdivo HELUZ'!$B$2:$K$41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'&gt;&gt;&gt; Výpočet &lt;&lt;&lt;'!$S$56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<sst xmlns="http://schemas.openxmlformats.org/spreadsheetml/2006/main" count="948" uniqueCount="371">
  <si>
    <t>h</t>
  </si>
  <si>
    <t>=</t>
  </si>
  <si>
    <t>b</t>
  </si>
  <si>
    <t>t</t>
  </si>
  <si>
    <t>K</t>
  </si>
  <si>
    <t>Obvodové zdivo</t>
  </si>
  <si>
    <t>Cihly HELUZ FAMILY pro pasivní a nízkoenergetické stavění</t>
  </si>
  <si>
    <t>Cihly HELUZ pro zdivo tloušťky 49 cm</t>
  </si>
  <si>
    <t>THERMO STI 49 broušená</t>
  </si>
  <si>
    <t>THERMO STI 49</t>
  </si>
  <si>
    <t>Cihly HELUZ pro zdivo tloušťky 44 cm</t>
  </si>
  <si>
    <t>THERMO STI 44 broušená</t>
  </si>
  <si>
    <t>PLUS 44 broušená</t>
  </si>
  <si>
    <t>P15 44 broušená</t>
  </si>
  <si>
    <t>THERMO STI 44</t>
  </si>
  <si>
    <t>PLUS 44</t>
  </si>
  <si>
    <t>P15 44</t>
  </si>
  <si>
    <t>Cihly HELUZ pro zdivo tloušťky 40 cm</t>
  </si>
  <si>
    <t>STI 40 broušená</t>
  </si>
  <si>
    <t>PLUS 40 broušená</t>
  </si>
  <si>
    <t>P15 40 broušená</t>
  </si>
  <si>
    <t>STI 40</t>
  </si>
  <si>
    <t>PLUS 40</t>
  </si>
  <si>
    <t>P15 40</t>
  </si>
  <si>
    <t>Cihly HELUZ pro zdivo tloušťky 38 cm</t>
  </si>
  <si>
    <t>PLUS 38 broušená</t>
  </si>
  <si>
    <t>P15 38 broušená</t>
  </si>
  <si>
    <t>STI 38</t>
  </si>
  <si>
    <t>PLUS 38</t>
  </si>
  <si>
    <t>P15 38</t>
  </si>
  <si>
    <t>STI 38 broušená</t>
  </si>
  <si>
    <t>STI 36,5 broušená</t>
  </si>
  <si>
    <t>PLUS 36,5 broušená</t>
  </si>
  <si>
    <t>P15 36,5 broušená</t>
  </si>
  <si>
    <t>STI 36,5</t>
  </si>
  <si>
    <t>PLUS 36,5</t>
  </si>
  <si>
    <t>P15 36,5</t>
  </si>
  <si>
    <t>Cihly HELUZ pro zdivo tloušťky 36,5 cm</t>
  </si>
  <si>
    <t>STI 30 broušená</t>
  </si>
  <si>
    <t>PLUS 30 broušená</t>
  </si>
  <si>
    <t>P15 30 broušená</t>
  </si>
  <si>
    <t>STI 30</t>
  </si>
  <si>
    <t>PLUS 30</t>
  </si>
  <si>
    <t>P15 30</t>
  </si>
  <si>
    <t>Cihly HELUZ pro zdivo tloušťky 30 cm</t>
  </si>
  <si>
    <t>STI 25 broušená</t>
  </si>
  <si>
    <t>STI 25</t>
  </si>
  <si>
    <t>Vnitřní nosné zdivo</t>
  </si>
  <si>
    <t>Cihly HELUZ pro zdivo tloušťky 24 cm</t>
  </si>
  <si>
    <t>24 broušená</t>
  </si>
  <si>
    <t>P15 24 broušená</t>
  </si>
  <si>
    <t>P15 24</t>
  </si>
  <si>
    <t>Cihly HELUZ pro zdivo tloušťky 20 cm</t>
  </si>
  <si>
    <t>20 broušená</t>
  </si>
  <si>
    <t>Cihly HELUZ pro zdivo tloušťky 17,5 cm</t>
  </si>
  <si>
    <t>17,5 broušená</t>
  </si>
  <si>
    <t>14 broušená</t>
  </si>
  <si>
    <t>Cihly HELUZ pro zdivo tloušťky 14 cm</t>
  </si>
  <si>
    <t>Zvukověizolační zdivo</t>
  </si>
  <si>
    <t>Cihly HELUZ akustické zalévané</t>
  </si>
  <si>
    <t>AKU 30 zalévaná</t>
  </si>
  <si>
    <t>AKU 24 zalévaná</t>
  </si>
  <si>
    <t>AKU 20 zalévaná</t>
  </si>
  <si>
    <t>AKU 14 zalévaná</t>
  </si>
  <si>
    <t>AKU 2x20 + izolant</t>
  </si>
  <si>
    <t>Cihly HELUZ akustické těžké</t>
  </si>
  <si>
    <t>AKU 30 těžká</t>
  </si>
  <si>
    <t>AKU 25 těžká</t>
  </si>
  <si>
    <t>AKU 20 těžká</t>
  </si>
  <si>
    <t>AKU 11,5 těžká</t>
  </si>
  <si>
    <t>Maloformátové cihly</t>
  </si>
  <si>
    <t>Typ zdiva</t>
  </si>
  <si>
    <t>CDm (2 DF)</t>
  </si>
  <si>
    <t>CV 14</t>
  </si>
  <si>
    <t>Délka</t>
  </si>
  <si>
    <t>Šířka</t>
  </si>
  <si>
    <t>Výška</t>
  </si>
  <si>
    <t>Skupina zdících prvků</t>
  </si>
  <si>
    <t>Typ malty</t>
  </si>
  <si>
    <t>Malta</t>
  </si>
  <si>
    <t>HELUZ lepidlo (malta pro zdění na tenkou spáru)</t>
  </si>
  <si>
    <t>HELUZ celoplošné lepidlo (malta pro zdění na celoplošnou tenkou spáru)</t>
  </si>
  <si>
    <t>HELUZ pěna</t>
  </si>
  <si>
    <t>TM 39 tepelněizolační malta</t>
  </si>
  <si>
    <t>TM 34 tepelněizolační malta</t>
  </si>
  <si>
    <t>TM HELUZ TREND</t>
  </si>
  <si>
    <t>M5</t>
  </si>
  <si>
    <t>LM5</t>
  </si>
  <si>
    <t>M10</t>
  </si>
  <si>
    <t>P15 25 broušená</t>
  </si>
  <si>
    <t>P15 25</t>
  </si>
  <si>
    <t>6, 8</t>
  </si>
  <si>
    <t>8, 10</t>
  </si>
  <si>
    <t>6, 8, 10</t>
  </si>
  <si>
    <t>15, 20</t>
  </si>
  <si>
    <t>Rozměry [mm]</t>
  </si>
  <si>
    <r>
      <t xml:space="preserve">Tlaková pevnost zdícího prvku </t>
    </r>
    <r>
      <rPr>
        <i/>
        <sz val="8"/>
        <rFont val="Arial CE"/>
        <family val="2"/>
      </rPr>
      <t>f</t>
    </r>
    <r>
      <rPr>
        <vertAlign val="subscript"/>
        <sz val="8"/>
        <rFont val="Arial CE"/>
        <family val="2"/>
      </rPr>
      <t>u</t>
    </r>
    <r>
      <rPr>
        <sz val="8"/>
        <rFont val="Arial CE"/>
        <family val="2"/>
      </rPr>
      <t xml:space="preserve"> [MPa]</t>
    </r>
  </si>
  <si>
    <r>
      <t xml:space="preserve">Součinitel tvaru </t>
    </r>
    <r>
      <rPr>
        <sz val="10"/>
        <rFont val="Symbol"/>
        <family val="1"/>
      </rPr>
      <t>d</t>
    </r>
    <r>
      <rPr>
        <sz val="10"/>
        <rFont val="Arial CE"/>
        <family val="0"/>
      </rPr>
      <t xml:space="preserve"> [-]</t>
    </r>
  </si>
  <si>
    <t>zde</t>
  </si>
  <si>
    <t>Min. tlaková pevnost [MPa]</t>
  </si>
  <si>
    <t xml:space="preserve">Sortiment zdících malt HELUZ   </t>
  </si>
  <si>
    <t>Název akce:</t>
  </si>
  <si>
    <t>Vypracoval:</t>
  </si>
  <si>
    <t>Dne:</t>
  </si>
  <si>
    <r>
      <t>g</t>
    </r>
    <r>
      <rPr>
        <vertAlign val="subscript"/>
        <sz val="10"/>
        <rFont val="Arial"/>
        <family val="2"/>
      </rPr>
      <t>M</t>
    </r>
  </si>
  <si>
    <r>
      <t>f</t>
    </r>
    <r>
      <rPr>
        <vertAlign val="subscript"/>
        <sz val="10"/>
        <rFont val="Arial"/>
        <family val="2"/>
      </rPr>
      <t>m</t>
    </r>
  </si>
  <si>
    <r>
      <t>K</t>
    </r>
    <r>
      <rPr>
        <vertAlign val="subscript"/>
        <sz val="10"/>
        <rFont val="Arial"/>
        <family val="2"/>
      </rPr>
      <t>E</t>
    </r>
  </si>
  <si>
    <r>
      <t>r</t>
    </r>
    <r>
      <rPr>
        <vertAlign val="subscript"/>
        <sz val="10"/>
        <rFont val="Arial"/>
        <family val="2"/>
      </rPr>
      <t>ms</t>
    </r>
  </si>
  <si>
    <r>
      <t>r</t>
    </r>
    <r>
      <rPr>
        <vertAlign val="subscript"/>
        <sz val="10"/>
        <rFont val="Arial"/>
        <family val="2"/>
      </rPr>
      <t>n</t>
    </r>
  </si>
  <si>
    <r>
      <t>t</t>
    </r>
    <r>
      <rPr>
        <vertAlign val="subscript"/>
        <sz val="10"/>
        <rFont val="Arial"/>
        <family val="2"/>
      </rPr>
      <t>ef</t>
    </r>
    <r>
      <rPr>
        <i/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t</t>
    </r>
  </si>
  <si>
    <r>
      <t>e</t>
    </r>
    <r>
      <rPr>
        <vertAlign val="subscript"/>
        <sz val="10"/>
        <rFont val="Arial"/>
        <family val="2"/>
      </rPr>
      <t>init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/450</t>
    </r>
  </si>
  <si>
    <t>SEZNAMY</t>
  </si>
  <si>
    <t>Cihly HELUZ pro zdivo tloušťky 25 cm (vnitřní)</t>
  </si>
  <si>
    <t>Cihly HELUZ pro zdivo tloušťky 25 cm (obvodové)</t>
  </si>
  <si>
    <t>24</t>
  </si>
  <si>
    <t>20</t>
  </si>
  <si>
    <t>17,5</t>
  </si>
  <si>
    <t>14</t>
  </si>
  <si>
    <t>TABULKY PRO SEZNAMY</t>
  </si>
  <si>
    <t>P8</t>
  </si>
  <si>
    <t>P6</t>
  </si>
  <si>
    <t>P10</t>
  </si>
  <si>
    <t>P15</t>
  </si>
  <si>
    <t>P20</t>
  </si>
  <si>
    <t>HELUZ malta pro broušené zdivo</t>
  </si>
  <si>
    <t>Obyčejná malta</t>
  </si>
  <si>
    <t xml:space="preserve">Skupina </t>
  </si>
  <si>
    <t>Součinitel K pro sk.2</t>
  </si>
  <si>
    <t>Součinitel K pro sk.3</t>
  </si>
  <si>
    <t>MPa</t>
  </si>
  <si>
    <t>Jiná návrhová malta (mimo sortiment HELUZ)</t>
  </si>
  <si>
    <t>skupina</t>
  </si>
  <si>
    <t>Normalizovaná pevnost zdícího prvku</t>
  </si>
  <si>
    <t>mm</t>
  </si>
  <si>
    <t>Tlaková pevnost malty</t>
  </si>
  <si>
    <t>Legenda</t>
  </si>
  <si>
    <t>HELUZ malta pro obvodové zdivo (nebroušené)</t>
  </si>
  <si>
    <t>Dílčí součinitel bezpečnosti materiálu (prvky kategorie I na návrhovou maltu)</t>
  </si>
  <si>
    <t>Materiálové charakteristiky zdiva</t>
  </si>
  <si>
    <r>
      <t xml:space="preserve">Plošná hmotnost zdiva </t>
    </r>
    <r>
      <rPr>
        <sz val="8"/>
        <rFont val="Symbol"/>
        <family val="1"/>
      </rPr>
      <t>r</t>
    </r>
    <r>
      <rPr>
        <vertAlign val="subscript"/>
        <sz val="8"/>
        <rFont val="Arial CE"/>
        <family val="2"/>
      </rPr>
      <t>ms</t>
    </r>
    <r>
      <rPr>
        <sz val="8"/>
        <rFont val="Arial CE"/>
        <family val="2"/>
      </rPr>
      <t xml:space="preserve"> [kg.m</t>
    </r>
    <r>
      <rPr>
        <vertAlign val="superscript"/>
        <sz val="8"/>
        <rFont val="Arial CE"/>
        <family val="2"/>
      </rPr>
      <t>-2</t>
    </r>
    <r>
      <rPr>
        <sz val="8"/>
        <rFont val="Arial CE"/>
        <family val="2"/>
      </rPr>
      <t>]</t>
    </r>
  </si>
  <si>
    <t>Posouzení únosnosti stěny nebo pilíře ze zdiva HELUZ podle ČSN EN 1996-1-1</t>
  </si>
  <si>
    <t>Pevnost zdiva</t>
  </si>
  <si>
    <t>Geometrie</t>
  </si>
  <si>
    <t>Světlá výška stěny (pilíře)</t>
  </si>
  <si>
    <t>m</t>
  </si>
  <si>
    <t>Podrobnější informace k jednotlivým zdícím maltám je možné nalézt na stránkách firmy HELUZ</t>
  </si>
  <si>
    <t>Cihly HELUZ pro zdivo tloušťky 24 cm (MF)</t>
  </si>
  <si>
    <t>Cihly HELUZ pro zdivo tloušťky 14 cm (MF)</t>
  </si>
  <si>
    <t>Cihly HELUZ pro zdivo tloušťky 29 cm</t>
  </si>
  <si>
    <t>FAMILY 50 broušená</t>
  </si>
  <si>
    <t>FAMILY 44 broušená</t>
  </si>
  <si>
    <t>FAMILY 38 broušená</t>
  </si>
  <si>
    <t>Typ cihel</t>
  </si>
  <si>
    <t>Cihla</t>
  </si>
  <si>
    <t>Sortiment cihel HELUZ</t>
  </si>
  <si>
    <t>Podrobnější informace k jednotlivým cihlám lze nalézt na stránkách firmy HELUZ</t>
  </si>
  <si>
    <t>Cihly</t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</si>
  <si>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d</t>
    </r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 xml:space="preserve">u </t>
    </r>
  </si>
  <si>
    <t>V hlavě stěny (pilíře)</t>
  </si>
  <si>
    <t>V polovině výšky stěny (pilíře)</t>
  </si>
  <si>
    <t>V patě stěny (pilíře)</t>
  </si>
  <si>
    <t>Normálová síla od návrhového zatížení horních podlaží</t>
  </si>
  <si>
    <t>Normálová síla od návrhového zatížení</t>
  </si>
  <si>
    <t>kN</t>
  </si>
  <si>
    <t>kNm</t>
  </si>
  <si>
    <t>www.heluz.cz</t>
  </si>
  <si>
    <t>concrete.fsv.cvut.cz/~kosatka/</t>
  </si>
  <si>
    <t>12, 20, 25</t>
  </si>
  <si>
    <t>8, 12, 20</t>
  </si>
  <si>
    <t>8, 12</t>
  </si>
  <si>
    <t>P12</t>
  </si>
  <si>
    <t>P25</t>
  </si>
  <si>
    <t>Zálivkový beton</t>
  </si>
  <si>
    <r>
      <t>Lehká malta (600 - 800 kg.m</t>
    </r>
    <r>
      <rPr>
        <vertAlign val="superscript"/>
        <sz val="8"/>
        <rFont val="Arial CE"/>
        <family val="2"/>
      </rPr>
      <t>-3</t>
    </r>
    <r>
      <rPr>
        <sz val="8"/>
        <rFont val="Arial CE"/>
        <family val="2"/>
      </rPr>
      <t>)</t>
    </r>
  </si>
  <si>
    <r>
      <t>Lehká malta (800 - 1300 kg.m</t>
    </r>
    <r>
      <rPr>
        <vertAlign val="superscript"/>
        <sz val="8"/>
        <rFont val="Arial CE"/>
        <family val="2"/>
      </rPr>
      <t>-3</t>
    </r>
    <r>
      <rPr>
        <sz val="8"/>
        <rFont val="Arial CE"/>
        <family val="2"/>
      </rPr>
      <t>)</t>
    </r>
  </si>
  <si>
    <t>Druh malty</t>
  </si>
  <si>
    <r>
      <t>Lehká malta (600 - 800 kg.m</t>
    </r>
    <r>
      <rPr>
        <vertAlign val="superscript"/>
        <sz val="10"/>
        <rFont val="Arial CE"/>
        <family val="2"/>
      </rPr>
      <t>-3</t>
    </r>
    <r>
      <rPr>
        <sz val="10"/>
        <rFont val="Arial CE"/>
        <family val="0"/>
      </rPr>
      <t>)</t>
    </r>
  </si>
  <si>
    <r>
      <t>Lehká malta (800 - 1300 kg.m</t>
    </r>
    <r>
      <rPr>
        <vertAlign val="superscript"/>
        <sz val="10"/>
        <rFont val="Arial CE"/>
        <family val="2"/>
      </rPr>
      <t>-3</t>
    </r>
    <r>
      <rPr>
        <sz val="10"/>
        <rFont val="Arial CE"/>
        <family val="0"/>
      </rPr>
      <t>)</t>
    </r>
  </si>
  <si>
    <t>Malta pro tenké spáry (0,5 - 3 mm)</t>
  </si>
  <si>
    <t>X</t>
  </si>
  <si>
    <t>FAMILY xx broušená</t>
  </si>
  <si>
    <t>PLUS xx broušená P10</t>
  </si>
  <si>
    <t>PLUS xx broušená P8</t>
  </si>
  <si>
    <t>PLUS 30 P10</t>
  </si>
  <si>
    <t>PLUS 30 P8</t>
  </si>
  <si>
    <t>24 P10</t>
  </si>
  <si>
    <t>24 P8</t>
  </si>
  <si>
    <t>24 broušená P10</t>
  </si>
  <si>
    <t>24 broušená P8</t>
  </si>
  <si>
    <t>20 broušená P10</t>
  </si>
  <si>
    <t>20 broušená P8</t>
  </si>
  <si>
    <t>20 P10</t>
  </si>
  <si>
    <t>20 P8</t>
  </si>
  <si>
    <t>17,5 P10</t>
  </si>
  <si>
    <t>17,5 P8</t>
  </si>
  <si>
    <t>17,5 broušená P10</t>
  </si>
  <si>
    <t>17,5 broušená P8</t>
  </si>
  <si>
    <t>AKU xx zalévaná</t>
  </si>
  <si>
    <t>AKU xx těžká</t>
  </si>
  <si>
    <t>2P8</t>
  </si>
  <si>
    <t>2P6</t>
  </si>
  <si>
    <t>3P8</t>
  </si>
  <si>
    <t>3P6</t>
  </si>
  <si>
    <t>(THERMO) STI xx broušená P8</t>
  </si>
  <si>
    <t>(THERMO) STI xx broušená P6</t>
  </si>
  <si>
    <t>(THERMO) STI xx P8</t>
  </si>
  <si>
    <t>(THERMO) STI xx P6</t>
  </si>
  <si>
    <t>4P10</t>
  </si>
  <si>
    <t>4P8</t>
  </si>
  <si>
    <t>6P10</t>
  </si>
  <si>
    <t>6P8</t>
  </si>
  <si>
    <t>8P8</t>
  </si>
  <si>
    <t>8P10</t>
  </si>
  <si>
    <t>10P10</t>
  </si>
  <si>
    <t>10P8</t>
  </si>
  <si>
    <t>12P10</t>
  </si>
  <si>
    <t>12P8</t>
  </si>
  <si>
    <t>14P10</t>
  </si>
  <si>
    <t>14P8</t>
  </si>
  <si>
    <t>15P10</t>
  </si>
  <si>
    <t>15P8</t>
  </si>
  <si>
    <t>16P10</t>
  </si>
  <si>
    <t>16P8</t>
  </si>
  <si>
    <t>17P10</t>
  </si>
  <si>
    <t>17P8</t>
  </si>
  <si>
    <t>1P8</t>
  </si>
  <si>
    <t>5P15</t>
  </si>
  <si>
    <t>7P15</t>
  </si>
  <si>
    <t>9P15</t>
  </si>
  <si>
    <t>11P15</t>
  </si>
  <si>
    <t>13P15</t>
  </si>
  <si>
    <r>
      <t>Lehká malta (600 - 800 kg.m</t>
    </r>
    <r>
      <rPr>
        <sz val="10"/>
        <rFont val="Arial CE"/>
        <family val="2"/>
      </rPr>
      <t>-3</t>
    </r>
    <r>
      <rPr>
        <sz val="10"/>
        <rFont val="Arial CE"/>
        <family val="0"/>
      </rPr>
      <t>)</t>
    </r>
  </si>
  <si>
    <r>
      <t>Lehká malta (800 - 1300 kg.m</t>
    </r>
    <r>
      <rPr>
        <sz val="10"/>
        <rFont val="Arial CE"/>
        <family val="2"/>
      </rPr>
      <t>-3</t>
    </r>
    <r>
      <rPr>
        <sz val="10"/>
        <rFont val="Arial CE"/>
        <family val="0"/>
      </rPr>
      <t>)</t>
    </r>
  </si>
  <si>
    <t>Ověření štíhlosti</t>
  </si>
  <si>
    <r>
      <t>N</t>
    </r>
    <r>
      <rPr>
        <vertAlign val="subscript"/>
        <sz val="10"/>
        <rFont val="Arial"/>
        <family val="2"/>
      </rPr>
      <t>Ed,1</t>
    </r>
  </si>
  <si>
    <r>
      <t>M</t>
    </r>
    <r>
      <rPr>
        <vertAlign val="subscript"/>
        <sz val="10"/>
        <rFont val="Arial"/>
        <family val="2"/>
      </rPr>
      <t>Ed,1</t>
    </r>
  </si>
  <si>
    <r>
      <t>N</t>
    </r>
    <r>
      <rPr>
        <vertAlign val="subscript"/>
        <sz val="10"/>
        <rFont val="Arial"/>
        <family val="2"/>
      </rPr>
      <t>Ed,2</t>
    </r>
  </si>
  <si>
    <r>
      <t>M</t>
    </r>
    <r>
      <rPr>
        <vertAlign val="subscript"/>
        <sz val="10"/>
        <rFont val="Arial"/>
        <family val="2"/>
      </rPr>
      <t>Ed,2</t>
    </r>
  </si>
  <si>
    <r>
      <t>N</t>
    </r>
    <r>
      <rPr>
        <vertAlign val="subscript"/>
        <sz val="10"/>
        <rFont val="Arial"/>
        <family val="2"/>
      </rPr>
      <t>Ed,m</t>
    </r>
  </si>
  <si>
    <r>
      <t>M</t>
    </r>
    <r>
      <rPr>
        <vertAlign val="subscript"/>
        <sz val="10"/>
        <rFont val="Arial"/>
        <family val="2"/>
      </rPr>
      <t>Ed,m</t>
    </r>
  </si>
  <si>
    <t>Slovní charakteristika</t>
  </si>
  <si>
    <t>Součinitel</t>
  </si>
  <si>
    <t>Hodnota</t>
  </si>
  <si>
    <r>
      <t>r</t>
    </r>
    <r>
      <rPr>
        <vertAlign val="subscript"/>
        <sz val="10"/>
        <rFont val="Arial CE"/>
        <family val="2"/>
      </rPr>
      <t>2</t>
    </r>
  </si>
  <si>
    <r>
      <t xml:space="preserve">Stěna podepřená podél 3 okrajů (vychází se z příslušné hodnoty </t>
    </r>
    <r>
      <rPr>
        <i/>
        <sz val="10"/>
        <rFont val="Symbol"/>
        <family val="1"/>
      </rPr>
      <t>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</si>
  <si>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 xml:space="preserve">Stěna podepřená podél 4 okrajů (vychází se z příslušné hodnoty </t>
    </r>
    <r>
      <rPr>
        <i/>
        <sz val="10"/>
        <rFont val="Symbol"/>
        <family val="1"/>
      </rPr>
      <t>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</si>
  <si>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>Stěna (pilíř) je:</t>
  </si>
  <si>
    <t>Podepřena pouze v úrovni hlavy a paty</t>
  </si>
  <si>
    <t>Podepřena v úrovni hlavy, paty a podél jednoho svislého okraje</t>
  </si>
  <si>
    <t>Podepřena v úrovni hlavy, paty a podél obou svislých okrajů</t>
  </si>
  <si>
    <t>Účinná výška stěny (pilíře)</t>
  </si>
  <si>
    <r>
      <t>M</t>
    </r>
    <r>
      <rPr>
        <vertAlign val="subscript"/>
        <sz val="10"/>
        <rFont val="Arial"/>
        <family val="2"/>
      </rPr>
      <t>Ed1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Ed1</t>
    </r>
  </si>
  <si>
    <t>Stěna je opřena pouze v hlavě a v patě. Strop je tuhý železobetonový a současně je excentricita od zatížení v hlavě stěny ≤ 0,25 tloušťky stěny. Je-li strop uložen pouze jednostranně, délka uložení musí být min. 2/3 tloušťky stěny a min. 85 mm.</t>
  </si>
  <si>
    <t>Stěna je opřena pouze v hlavě a v patě. Strop je dřevěný nebo je tuhý železobetonový a současně je excentricita od zatížení v hlavě stěny &gt; 0,25 tloušťky stěny. Je-li strop uložen pouze jednostranně, délka uložení musí být min. 2/3 tloušťky stěny a min. 85 mm.</t>
  </si>
  <si>
    <t>Strop je na stěně uložen pouze jednostranně, délka uložení je menší než 2/3 tloušťky stěny nebo menší než 85 mm.</t>
  </si>
  <si>
    <t>Dřevěná trámová</t>
  </si>
  <si>
    <t>Uložená z obou stran stěny</t>
  </si>
  <si>
    <t>Uložená pouze z jedné strany stěny, délka uložení je min. 2/3 tloušťky stěny a min. 85 mm</t>
  </si>
  <si>
    <t>Uložená pouze z jedné strany stěny, délka uložení je menší než 2/3 tloušťky stěny nebo menší než 85 mm</t>
  </si>
  <si>
    <t>Železobetonová nebo keramická zmonolitněná (např. stropy HELUZ MIAKO)</t>
  </si>
  <si>
    <r>
      <t>r</t>
    </r>
    <r>
      <rPr>
        <vertAlign val="subscript"/>
        <sz val="10"/>
        <rFont val="Arial"/>
        <family val="2"/>
      </rPr>
      <t>2</t>
    </r>
  </si>
  <si>
    <t>Rozměry cihly D x Š x V</t>
  </si>
  <si>
    <t>L</t>
  </si>
  <si>
    <r>
      <t>h</t>
    </r>
    <r>
      <rPr>
        <b/>
        <vertAlign val="subscript"/>
        <sz val="10"/>
        <rFont val="Arial"/>
        <family val="2"/>
      </rPr>
      <t xml:space="preserve">ef </t>
    </r>
    <r>
      <rPr>
        <b/>
        <sz val="10"/>
        <rFont val="Arial"/>
        <family val="2"/>
      </rPr>
      <t xml:space="preserve">=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n</t>
    </r>
    <r>
      <rPr>
        <b/>
        <i/>
        <sz val="10"/>
        <rFont val="Arial"/>
        <family val="2"/>
      </rPr>
      <t>h</t>
    </r>
  </si>
  <si>
    <t>Konečné výsledky</t>
  </si>
  <si>
    <t>Účinná tloušťka stěny (pilíře)</t>
  </si>
  <si>
    <r>
      <t>h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vertAlign val="subscript"/>
        <sz val="10"/>
        <rFont val="Arial"/>
        <family val="2"/>
      </rPr>
      <t>ef</t>
    </r>
  </si>
  <si>
    <t>Buňky obsahující neplatný vstup nebo nevyhovující výsledek - nutno opravit</t>
  </si>
  <si>
    <t>Šířka celé stěny (pilíře)</t>
  </si>
  <si>
    <t>Štíhlost stěny (pilíře)</t>
  </si>
  <si>
    <r>
      <t>Posouzení únosnosti průřezu "1"</t>
    </r>
  </si>
  <si>
    <t>Výstřednost zatížení působícího v hlavě stěny (pilíře)</t>
  </si>
  <si>
    <t>Výstřednost od návrhového zatížení</t>
  </si>
  <si>
    <t>Počáteční výstřednost</t>
  </si>
  <si>
    <r>
      <t>e</t>
    </r>
    <r>
      <rPr>
        <vertAlign val="subscript"/>
        <sz val="10"/>
        <rFont val="Arial"/>
        <family val="2"/>
      </rPr>
      <t>f,1</t>
    </r>
    <r>
      <rPr>
        <sz val="10"/>
        <rFont val="Arial"/>
        <family val="2"/>
      </rPr>
      <t xml:space="preserve"> = M</t>
    </r>
    <r>
      <rPr>
        <vertAlign val="subscript"/>
        <sz val="10"/>
        <rFont val="Arial"/>
        <family val="2"/>
      </rPr>
      <t>Ed,1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Ed,1</t>
    </r>
  </si>
  <si>
    <t>Výstřednost v hlavě</t>
  </si>
  <si>
    <r>
      <t xml:space="preserve">Zmenšující součinitel  </t>
    </r>
  </si>
  <si>
    <r>
      <t>F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 1 – 2(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</si>
  <si>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N</t>
    </r>
    <r>
      <rPr>
        <vertAlign val="subscript"/>
        <sz val="10"/>
        <rFont val="Arial"/>
        <family val="2"/>
      </rPr>
      <t xml:space="preserve">Rd,1 </t>
    </r>
    <r>
      <rPr>
        <sz val="10"/>
        <rFont val="Arial"/>
        <family val="2"/>
      </rPr>
      <t xml:space="preserve">=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>btf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</t>
    </r>
  </si>
  <si>
    <t>Návrhová únosnost průřezu "1"</t>
  </si>
  <si>
    <r>
      <t>N</t>
    </r>
    <r>
      <rPr>
        <b/>
        <vertAlign val="subscript"/>
        <sz val="10"/>
        <rFont val="Arial"/>
        <family val="2"/>
      </rPr>
      <t>Rd,1</t>
    </r>
  </si>
  <si>
    <r>
      <t>N</t>
    </r>
    <r>
      <rPr>
        <b/>
        <vertAlign val="subscript"/>
        <sz val="10"/>
        <rFont val="Arial"/>
        <family val="2"/>
      </rPr>
      <t>Ed,1</t>
    </r>
  </si>
  <si>
    <t>=&gt;</t>
  </si>
  <si>
    <r>
      <t>F</t>
    </r>
    <r>
      <rPr>
        <i/>
        <vertAlign val="subscript"/>
        <sz val="12"/>
        <rFont val="Arial"/>
        <family val="2"/>
      </rPr>
      <t>∞</t>
    </r>
  </si>
  <si>
    <r>
      <t>e</t>
    </r>
    <r>
      <rPr>
        <vertAlign val="subscript"/>
        <sz val="10"/>
        <rFont val="Arial"/>
        <family val="2"/>
      </rPr>
      <t>f,m</t>
    </r>
    <r>
      <rPr>
        <sz val="10"/>
        <rFont val="Arial"/>
        <family val="2"/>
      </rPr>
      <t xml:space="preserve"> = M</t>
    </r>
    <r>
      <rPr>
        <vertAlign val="subscript"/>
        <sz val="10"/>
        <rFont val="Arial"/>
        <family val="2"/>
      </rPr>
      <t>Ed,m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Ed,m</t>
    </r>
  </si>
  <si>
    <t>Výstřednost od dotvarování</t>
  </si>
  <si>
    <t>Výstřednost v polovině výšky stěny (pilíře)</t>
  </si>
  <si>
    <r>
      <t>e</t>
    </r>
    <r>
      <rPr>
        <vertAlign val="subscript"/>
        <sz val="10"/>
        <rFont val="Arial"/>
        <family val="2"/>
      </rPr>
      <t xml:space="preserve">mk </t>
    </r>
    <r>
      <rPr>
        <sz val="10"/>
        <rFont val="Arial"/>
        <family val="2"/>
      </rPr>
      <t>= max(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f,m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k</t>
    </r>
    <r>
      <rPr>
        <i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init</t>
    </r>
    <r>
      <rPr>
        <sz val="10"/>
        <rFont val="Arial"/>
        <family val="2"/>
      </rPr>
      <t>; 0,05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</si>
  <si>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Zmenšující součinitel</t>
  </si>
  <si>
    <t>Součinitel modulu pružnosti</t>
  </si>
  <si>
    <r>
      <t>N</t>
    </r>
    <r>
      <rPr>
        <vertAlign val="subscript"/>
        <sz val="10"/>
        <rFont val="Arial"/>
        <family val="2"/>
      </rPr>
      <t xml:space="preserve">Rd,m </t>
    </r>
    <r>
      <rPr>
        <sz val="10"/>
        <rFont val="Arial"/>
        <family val="2"/>
      </rPr>
      <t xml:space="preserve">=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>btf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</t>
    </r>
  </si>
  <si>
    <r>
      <t>N</t>
    </r>
    <r>
      <rPr>
        <b/>
        <vertAlign val="subscript"/>
        <sz val="10"/>
        <rFont val="Arial"/>
        <family val="2"/>
      </rPr>
      <t>Rd,m</t>
    </r>
  </si>
  <si>
    <r>
      <t>N</t>
    </r>
    <r>
      <rPr>
        <b/>
        <vertAlign val="subscript"/>
        <sz val="10"/>
        <rFont val="Arial"/>
        <family val="2"/>
      </rPr>
      <t>Ed,m</t>
    </r>
  </si>
  <si>
    <r>
      <t>Posouzení únosnosti průřezu "2"</t>
    </r>
  </si>
  <si>
    <r>
      <t>e</t>
    </r>
    <r>
      <rPr>
        <vertAlign val="subscript"/>
        <sz val="10"/>
        <rFont val="Arial"/>
        <family val="2"/>
      </rPr>
      <t>f,2</t>
    </r>
    <r>
      <rPr>
        <sz val="10"/>
        <rFont val="Arial"/>
        <family val="2"/>
      </rPr>
      <t xml:space="preserve"> = M</t>
    </r>
    <r>
      <rPr>
        <vertAlign val="subscript"/>
        <sz val="10"/>
        <rFont val="Arial"/>
        <family val="2"/>
      </rPr>
      <t>Ed,2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Ed,2</t>
    </r>
  </si>
  <si>
    <t>Výstřednost v patě</t>
  </si>
  <si>
    <r>
      <t>e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 max(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f,1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init</t>
    </r>
    <r>
      <rPr>
        <sz val="10"/>
        <rFont val="Arial"/>
        <family val="2"/>
      </rPr>
      <t>; 0,05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</si>
  <si>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e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max(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f,2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init</t>
    </r>
    <r>
      <rPr>
        <sz val="10"/>
        <rFont val="Arial"/>
        <family val="2"/>
      </rPr>
      <t>; 0,05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</si>
  <si>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1 – 2(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</si>
  <si>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Návrhová únosnost průřezu "2"</t>
  </si>
  <si>
    <r>
      <t>N</t>
    </r>
    <r>
      <rPr>
        <vertAlign val="subscript"/>
        <sz val="10"/>
        <rFont val="Arial"/>
        <family val="2"/>
      </rPr>
      <t xml:space="preserve">Rd,2 </t>
    </r>
    <r>
      <rPr>
        <sz val="10"/>
        <rFont val="Arial"/>
        <family val="2"/>
      </rPr>
      <t xml:space="preserve">=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btf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</t>
    </r>
  </si>
  <si>
    <t>Součinitele použité ve výpočtu</t>
  </si>
  <si>
    <r>
      <t>N</t>
    </r>
    <r>
      <rPr>
        <b/>
        <vertAlign val="subscript"/>
        <sz val="10"/>
        <rFont val="Arial"/>
        <family val="2"/>
      </rPr>
      <t>Rd,2</t>
    </r>
  </si>
  <si>
    <r>
      <t>N</t>
    </r>
    <r>
      <rPr>
        <b/>
        <vertAlign val="subscript"/>
        <sz val="10"/>
        <rFont val="Arial"/>
        <family val="2"/>
      </rPr>
      <t>Ed,2</t>
    </r>
  </si>
  <si>
    <t>nedefinované malty</t>
  </si>
  <si>
    <t>kód odkazující na sloupec v tabulce Zdivo HELUZ</t>
  </si>
  <si>
    <t>kód typu cihel</t>
  </si>
  <si>
    <t>kód typu cihel+pevnosti</t>
  </si>
  <si>
    <t>CDm (2DF)</t>
  </si>
  <si>
    <t>--</t>
  </si>
  <si>
    <t>-- klikněte zde a vyberte ze seznamu --</t>
  </si>
  <si>
    <t>Dílo je chráněno platnými předpisy upravujícími autorská práva. Jakékoliv užití díla, které není v souladu s těmito předpisy, je zakázáno. Autoři nenesou zodpovědnost za škody jakéhokoliv charakteru vzniklé v důsledku neodborného a nesprávného použití tohoto díla.</t>
  </si>
  <si>
    <t>Pro malty mimo sortiment HELUZ zadejte prosím pevnost do této zelené buňky:</t>
  </si>
  <si>
    <t>Stropní (popř. střešní) konstrukce podpírající hlavu a patu stěny je:</t>
  </si>
  <si>
    <t>Vstupy - nutno vyplnit</t>
  </si>
  <si>
    <t xml:space="preserve">Plošná hmotnost zdiva </t>
  </si>
  <si>
    <r>
      <t>kg.m</t>
    </r>
    <r>
      <rPr>
        <vertAlign val="superscript"/>
        <sz val="9"/>
        <rFont val="Arial"/>
        <family val="2"/>
      </rPr>
      <t>-2</t>
    </r>
  </si>
  <si>
    <t>Zatížení posuzovaného průřezu</t>
  </si>
  <si>
    <t>Konečná hodnota součinitele dotvarování pro zdivo z pálených cihel</t>
  </si>
  <si>
    <t>Součinitele pro výpočet vzpěrné výšky stěny</t>
  </si>
  <si>
    <r>
      <t xml:space="preserve">Součinitel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 stanovení vzpěrné výšky</t>
    </r>
  </si>
  <si>
    <r>
      <t xml:space="preserve">Součinitel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pro stanovení vzpěrné výšky</t>
    </r>
  </si>
  <si>
    <t>Vzpěrná výška stěny (pilíře)</t>
  </si>
  <si>
    <r>
      <t xml:space="preserve">Uvažovat vlastní hodnotu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(není zaručeno nepoddajné podepření hlavy stěny, lze vyjít např. z ČSN 73 1101)</t>
    </r>
  </si>
  <si>
    <t>Moment od svislého a vodorovného návrhového zatížení</t>
  </si>
  <si>
    <t>Součinitel K pro pálené cihly</t>
  </si>
  <si>
    <t xml:space="preserve">   Pro zdivo na pěnu neexistuje výpočetní vztah, pevnost lze stanovit jedině experimentálně.</t>
  </si>
  <si>
    <t>Účinná šířka stěny (pilíře)</t>
  </si>
  <si>
    <r>
      <t>b</t>
    </r>
    <r>
      <rPr>
        <vertAlign val="subscript"/>
        <sz val="10"/>
        <rFont val="Arial"/>
        <family val="2"/>
      </rPr>
      <t>ef</t>
    </r>
    <r>
      <rPr>
        <i/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b</t>
    </r>
  </si>
  <si>
    <r>
      <t>h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ef</t>
    </r>
  </si>
  <si>
    <r>
      <t xml:space="preserve">l </t>
    </r>
    <r>
      <rPr>
        <b/>
        <sz val="10"/>
        <rFont val="Arial"/>
        <family val="2"/>
      </rPr>
      <t>= max</t>
    </r>
    <r>
      <rPr>
        <b/>
        <i/>
        <sz val="10"/>
        <rFont val="Arial"/>
        <family val="2"/>
      </rPr>
      <t>(h</t>
    </r>
    <r>
      <rPr>
        <b/>
        <vertAlign val="subscript"/>
        <sz val="10"/>
        <rFont val="Arial"/>
        <family val="2"/>
      </rPr>
      <t>ef</t>
    </r>
    <r>
      <rPr>
        <b/>
        <sz val="10"/>
        <rFont val="Arial"/>
        <family val="2"/>
      </rPr>
      <t>/</t>
    </r>
    <r>
      <rPr>
        <b/>
        <i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ef</t>
    </r>
    <r>
      <rPr>
        <b/>
        <i/>
        <sz val="10"/>
        <rFont val="Arial"/>
        <family val="2"/>
      </rPr>
      <t>; h</t>
    </r>
    <r>
      <rPr>
        <b/>
        <vertAlign val="subscript"/>
        <sz val="10"/>
        <rFont val="Arial"/>
        <family val="2"/>
      </rPr>
      <t>ef</t>
    </r>
    <r>
      <rPr>
        <b/>
        <sz val="10"/>
        <rFont val="Arial"/>
        <family val="2"/>
      </rPr>
      <t>/</t>
    </r>
    <r>
      <rPr>
        <b/>
        <i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ef</t>
    </r>
    <r>
      <rPr>
        <b/>
        <sz val="10"/>
        <rFont val="Arial"/>
        <family val="2"/>
      </rPr>
      <t>)</t>
    </r>
  </si>
  <si>
    <r>
      <t>e'</t>
    </r>
    <r>
      <rPr>
        <vertAlign val="subscript"/>
        <sz val="10"/>
        <rFont val="Arial"/>
        <family val="2"/>
      </rPr>
      <t>f,m</t>
    </r>
  </si>
  <si>
    <r>
      <t>e'</t>
    </r>
    <r>
      <rPr>
        <vertAlign val="subscript"/>
        <sz val="10"/>
        <rFont val="Arial"/>
        <family val="2"/>
      </rPr>
      <t>init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/450</t>
    </r>
  </si>
  <si>
    <r>
      <t>F</t>
    </r>
    <r>
      <rPr>
        <sz val="10"/>
        <rFont val="Arial"/>
        <family val="2"/>
      </rPr>
      <t>'</t>
    </r>
    <r>
      <rPr>
        <i/>
        <vertAlign val="subscript"/>
        <sz val="12"/>
        <rFont val="Arial"/>
        <family val="2"/>
      </rPr>
      <t>∞</t>
    </r>
  </si>
  <si>
    <r>
      <t>e'</t>
    </r>
    <r>
      <rPr>
        <vertAlign val="subscript"/>
        <sz val="10"/>
        <rFont val="Arial"/>
        <family val="2"/>
      </rPr>
      <t xml:space="preserve">mk </t>
    </r>
    <r>
      <rPr>
        <sz val="10"/>
        <rFont val="Arial"/>
        <family val="2"/>
      </rPr>
      <t>= max(</t>
    </r>
    <r>
      <rPr>
        <i/>
        <sz val="10"/>
        <rFont val="Arial"/>
        <family val="2"/>
      </rPr>
      <t>e'</t>
    </r>
    <r>
      <rPr>
        <vertAlign val="subscript"/>
        <sz val="10"/>
        <rFont val="Arial"/>
        <family val="2"/>
      </rPr>
      <t>f,m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e'</t>
    </r>
    <r>
      <rPr>
        <vertAlign val="subscript"/>
        <sz val="10"/>
        <rFont val="Arial"/>
        <family val="2"/>
      </rPr>
      <t>k</t>
    </r>
    <r>
      <rPr>
        <i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e'</t>
    </r>
    <r>
      <rPr>
        <vertAlign val="subscript"/>
        <sz val="10"/>
        <rFont val="Arial"/>
        <family val="2"/>
      </rPr>
      <t>init</t>
    </r>
    <r>
      <rPr>
        <sz val="10"/>
        <rFont val="Arial"/>
        <family val="2"/>
      </rPr>
      <t>; 0,05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</si>
  <si>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N'</t>
    </r>
    <r>
      <rPr>
        <vertAlign val="subscript"/>
        <sz val="10"/>
        <rFont val="Arial"/>
        <family val="2"/>
      </rPr>
      <t xml:space="preserve">Rd,m </t>
    </r>
    <r>
      <rPr>
        <sz val="10"/>
        <rFont val="Arial"/>
        <family val="2"/>
      </rPr>
      <t xml:space="preserve">= </t>
    </r>
    <r>
      <rPr>
        <sz val="10"/>
        <rFont val="Symbol"/>
        <family val="1"/>
      </rPr>
      <t>F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>btf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</t>
    </r>
  </si>
  <si>
    <r>
      <t>N'</t>
    </r>
    <r>
      <rPr>
        <b/>
        <vertAlign val="subscript"/>
        <sz val="10"/>
        <rFont val="Arial"/>
        <family val="2"/>
      </rPr>
      <t>Rd,m</t>
    </r>
  </si>
  <si>
    <t>18P15</t>
  </si>
  <si>
    <t>19P10</t>
  </si>
  <si>
    <t>–</t>
  </si>
  <si>
    <r>
      <t xml:space="preserve">Tloušťka stěny (pilíře) bez omítky                                                  </t>
    </r>
    <r>
      <rPr>
        <i/>
        <sz val="8"/>
        <rFont val="Arial"/>
        <family val="2"/>
      </rPr>
      <t>(rozměr ve směru roviny ohybu)</t>
    </r>
  </si>
  <si>
    <r>
      <t xml:space="preserve">Charakteristická pevnost zdiva v tlaku stanovená výpočtem </t>
    </r>
    <r>
      <rPr>
        <vertAlign val="superscript"/>
        <sz val="10"/>
        <rFont val="Arial"/>
        <family val="2"/>
      </rPr>
      <t>2)</t>
    </r>
  </si>
  <si>
    <r>
      <t>Uvažovat dle technické příručky HELUZ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 </t>
    </r>
  </si>
  <si>
    <r>
      <t>2)</t>
    </r>
    <r>
      <rPr>
        <i/>
        <sz val="9"/>
        <rFont val="Arial"/>
        <family val="2"/>
      </rPr>
      <t xml:space="preserve"> Použije se vztah f</t>
    </r>
    <r>
      <rPr>
        <vertAlign val="subscript"/>
        <sz val="9"/>
        <rFont val="Arial"/>
        <family val="2"/>
      </rPr>
      <t>k</t>
    </r>
    <r>
      <rPr>
        <i/>
        <vertAlign val="subscript"/>
        <sz val="9"/>
        <rFont val="Arial"/>
        <family val="2"/>
      </rPr>
      <t xml:space="preserve"> </t>
    </r>
    <r>
      <rPr>
        <i/>
        <sz val="9"/>
        <rFont val="Arial"/>
        <family val="2"/>
      </rPr>
      <t>= Kf</t>
    </r>
    <r>
      <rPr>
        <vertAlign val="subscript"/>
        <sz val="9"/>
        <rFont val="Arial"/>
        <family val="2"/>
      </rPr>
      <t>b</t>
    </r>
    <r>
      <rPr>
        <vertAlign val="superscript"/>
        <sz val="9"/>
        <rFont val="Arial"/>
        <family val="2"/>
      </rPr>
      <t>0,7</t>
    </r>
    <r>
      <rPr>
        <i/>
        <sz val="9"/>
        <rFont val="Arial"/>
        <family val="2"/>
      </rPr>
      <t>f</t>
    </r>
    <r>
      <rPr>
        <vertAlign val="subscript"/>
        <sz val="9"/>
        <rFont val="Arial"/>
        <family val="2"/>
      </rPr>
      <t>m</t>
    </r>
    <r>
      <rPr>
        <vertAlign val="superscript"/>
        <sz val="9"/>
        <rFont val="Arial"/>
        <family val="2"/>
      </rPr>
      <t>0,3</t>
    </r>
    <r>
      <rPr>
        <i/>
        <sz val="9"/>
        <rFont val="Arial"/>
        <family val="2"/>
      </rPr>
      <t xml:space="preserve"> pro zdivo na obyčejnou či lehkou maltu a f</t>
    </r>
    <r>
      <rPr>
        <vertAlign val="subscript"/>
        <sz val="9"/>
        <rFont val="Arial"/>
        <family val="2"/>
      </rPr>
      <t>k</t>
    </r>
    <r>
      <rPr>
        <i/>
        <sz val="9"/>
        <rFont val="Arial"/>
        <family val="2"/>
      </rPr>
      <t xml:space="preserve"> = Kf</t>
    </r>
    <r>
      <rPr>
        <vertAlign val="subscript"/>
        <sz val="9"/>
        <rFont val="Arial"/>
        <family val="2"/>
      </rPr>
      <t>b</t>
    </r>
    <r>
      <rPr>
        <vertAlign val="superscript"/>
        <sz val="9"/>
        <rFont val="Arial"/>
        <family val="2"/>
      </rPr>
      <t>0,7</t>
    </r>
    <r>
      <rPr>
        <i/>
        <sz val="9"/>
        <rFont val="Arial"/>
        <family val="2"/>
      </rPr>
      <t xml:space="preserve"> pro zdivo na maltu pro tenké spáry (lepidlo). </t>
    </r>
  </si>
  <si>
    <r>
      <t xml:space="preserve">1) </t>
    </r>
    <r>
      <rPr>
        <i/>
        <sz val="9"/>
        <rFont val="Arial"/>
        <family val="2"/>
      </rPr>
      <t>Tloušťka stěny (pilíře) odpovídá šířce jedné cihly, použita doporučená malta a omítka, uvažuje se nejvyšší objemová hmotnost cihel</t>
    </r>
  </si>
  <si>
    <t>Štíhlost stěny (pilíře) ve směru kolmém na rovinu ohybu</t>
  </si>
  <si>
    <t>Štíhlost stěny (pilíře) ve směru roviny ohybu</t>
  </si>
  <si>
    <t>Posouzení únosnosti průřezu "m" ve směru roviny ohybu</t>
  </si>
  <si>
    <r>
      <t>Návrhová únosnost průřezu "</t>
    </r>
    <r>
      <rPr>
        <i/>
        <sz val="10"/>
        <rFont val="Arial"/>
        <family val="2"/>
      </rPr>
      <t xml:space="preserve">m" </t>
    </r>
    <r>
      <rPr>
        <sz val="10"/>
        <rFont val="Arial"/>
        <family val="2"/>
      </rPr>
      <t>ve směru roviny ohybu</t>
    </r>
  </si>
  <si>
    <t>Posouzení únosnosti průřezu "m" ve směru kolmém k rovině ohybu</t>
  </si>
  <si>
    <r>
      <t>Návrhová únosnost průřezu "</t>
    </r>
    <r>
      <rPr>
        <i/>
        <sz val="10"/>
        <rFont val="Arial"/>
        <family val="2"/>
      </rPr>
      <t xml:space="preserve">m" </t>
    </r>
    <r>
      <rPr>
        <sz val="10"/>
        <rFont val="Arial"/>
        <family val="2"/>
      </rPr>
      <t>ve směru kolmém na rovinu ohybu</t>
    </r>
  </si>
  <si>
    <r>
      <t xml:space="preserve">Šířka posuzovaného průřezu stěny (pilíře) bez omítky                                     </t>
    </r>
    <r>
      <rPr>
        <i/>
        <sz val="8"/>
        <rFont val="Arial"/>
        <family val="2"/>
      </rPr>
      <t>(rozměr ve směru kolmém na rovinu ohybu)</t>
    </r>
  </si>
  <si>
    <r>
      <t xml:space="preserve">Uvažovat vlastní hodnotu </t>
    </r>
    <r>
      <rPr>
        <i/>
        <sz val="10"/>
        <rFont val="Arial"/>
        <family val="2"/>
      </rPr>
      <t xml:space="preserve">t </t>
    </r>
    <r>
      <rPr>
        <i/>
        <sz val="8"/>
        <rFont val="Arial"/>
        <family val="2"/>
      </rPr>
      <t>(t neodpovídá šířce cihly - jde např. o pilíř ohýbaný ve směru delšího rozměru)</t>
    </r>
  </si>
  <si>
    <t>PLUS 44/40/38/36,5 P10</t>
  </si>
  <si>
    <t>PLUS 44/40/38/36,5 P8</t>
  </si>
  <si>
    <r>
      <t xml:space="preserve">Charakteristické pevnosti zdiva        </t>
    </r>
    <r>
      <rPr>
        <b/>
        <i/>
        <sz val="11"/>
        <rFont val="Arial CE"/>
        <family val="2"/>
      </rPr>
      <t>f</t>
    </r>
    <r>
      <rPr>
        <b/>
        <vertAlign val="subscript"/>
        <sz val="11"/>
        <rFont val="Arial CE"/>
        <family val="2"/>
      </rPr>
      <t>k</t>
    </r>
    <r>
      <rPr>
        <b/>
        <sz val="11"/>
        <rFont val="Arial CE"/>
        <family val="2"/>
      </rPr>
      <t xml:space="preserve"> [MPa] stanovené zkouškami </t>
    </r>
  </si>
  <si>
    <t>P15 44/40/36,5</t>
  </si>
  <si>
    <r>
      <t xml:space="preserve">Návrhová pevnost zdiva v tlaku </t>
    </r>
    <r>
      <rPr>
        <b/>
        <vertAlign val="superscript"/>
        <sz val="10"/>
        <rFont val="Arial"/>
        <family val="2"/>
      </rPr>
      <t>3)</t>
    </r>
  </si>
  <si>
    <r>
      <t>3)</t>
    </r>
    <r>
      <rPr>
        <i/>
        <sz val="9"/>
        <rFont val="Arial"/>
        <family val="2"/>
      </rPr>
      <t xml:space="preserve"> Je-li k dispozici hodnota f</t>
    </r>
    <r>
      <rPr>
        <i/>
        <vertAlign val="subscript"/>
        <sz val="9"/>
        <rFont val="Arial"/>
        <family val="2"/>
      </rPr>
      <t>k</t>
    </r>
    <r>
      <rPr>
        <i/>
        <sz val="9"/>
        <rFont val="Arial"/>
        <family val="2"/>
      </rPr>
      <t xml:space="preserve"> ze zkoušek, použije se pro výpočet f</t>
    </r>
    <r>
      <rPr>
        <i/>
        <vertAlign val="subscript"/>
        <sz val="9"/>
        <rFont val="Arial"/>
        <family val="2"/>
      </rPr>
      <t>d</t>
    </r>
    <r>
      <rPr>
        <i/>
        <sz val="9"/>
        <rFont val="Arial"/>
        <family val="2"/>
      </rPr>
      <t>. Jinak je uvažována hodnota f</t>
    </r>
    <r>
      <rPr>
        <i/>
        <vertAlign val="subscript"/>
        <sz val="9"/>
        <rFont val="Arial"/>
        <family val="2"/>
      </rPr>
      <t>k</t>
    </r>
    <r>
      <rPr>
        <i/>
        <sz val="9"/>
        <rFont val="Arial"/>
        <family val="2"/>
      </rPr>
      <t xml:space="preserve"> stanovená výpočtem.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</si>
  <si>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/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 xml:space="preserve">M </t>
    </r>
  </si>
  <si>
    <r>
      <t>f</t>
    </r>
    <r>
      <rPr>
        <vertAlign val="subscript"/>
        <sz val="10"/>
        <rFont val="Arial"/>
        <family val="2"/>
      </rPr>
      <t>k,v</t>
    </r>
  </si>
  <si>
    <r>
      <t>f</t>
    </r>
    <r>
      <rPr>
        <vertAlign val="subscript"/>
        <sz val="10"/>
        <rFont val="Arial"/>
        <family val="2"/>
      </rPr>
      <t>k,zk</t>
    </r>
  </si>
  <si>
    <t>Charakteristická pevnost zdiva v tlaku stanovená ze zkoušek (je-li k dispozici)</t>
  </si>
  <si>
    <t>P15 44/40/38/36,5/30 broušená</t>
  </si>
  <si>
    <t xml:space="preserve">         Použitá malta není ze sortimentu HELUZ - specifikovat vlastní návrhovou maltu</t>
  </si>
  <si>
    <t>TABULKY PRO SEZNAMY přesunuty na list Výpočet (aby fungovaly i po zkopírování listu)</t>
  </si>
  <si>
    <t>Ve zdivu se vyskytuje podélná styčná spára - přenásobit tabulkový součinitel K hodnotou 0,8</t>
  </si>
  <si>
    <t>Název řešeného prvku:</t>
  </si>
  <si>
    <t>Pro HELUZ cihlářský průmysl, v.o.s. zpracovali Ing. Pavel Košatka, CSc. a Ing. Petr Bílý,</t>
  </si>
  <si>
    <t>Katedra betonových a zděných konstrukcí, Fakulta stavební ČVUT v Praze, 2010 – 2011.</t>
  </si>
  <si>
    <t>Verze 1.1</t>
  </si>
</sst>
</file>

<file path=xl/styles.xml><?xml version="1.0" encoding="utf-8"?>
<styleSheet xmlns="http://schemas.openxmlformats.org/spreadsheetml/2006/main">
  <numFmts count="25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0.0000"/>
  </numFmts>
  <fonts count="55">
    <font>
      <sz val="10"/>
      <name val="Arial CE"/>
      <family val="0"/>
    </font>
    <font>
      <i/>
      <sz val="12"/>
      <name val="Symbol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bscript"/>
      <sz val="8"/>
      <name val="Arial CE"/>
      <family val="2"/>
    </font>
    <font>
      <sz val="10"/>
      <name val="Symbol"/>
      <family val="1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u val="single"/>
      <sz val="8"/>
      <color indexed="12"/>
      <name val="Arial CE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sz val="8"/>
      <name val="Symbol"/>
      <family val="1"/>
    </font>
    <font>
      <sz val="10"/>
      <color indexed="9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i/>
      <vertAlign val="subscript"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Symbol"/>
      <family val="1"/>
    </font>
    <font>
      <vertAlign val="superscript"/>
      <sz val="10"/>
      <name val="Arial CE"/>
      <family val="2"/>
    </font>
    <font>
      <i/>
      <sz val="10"/>
      <name val="Arial CE"/>
      <family val="2"/>
    </font>
    <font>
      <vertAlign val="subscript"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vertAlign val="subscript"/>
      <sz val="11"/>
      <name val="Arial CE"/>
      <family val="2"/>
    </font>
    <font>
      <i/>
      <sz val="10"/>
      <name val="Symbol"/>
      <family val="1"/>
    </font>
    <font>
      <i/>
      <vertAlign val="subscript"/>
      <sz val="12"/>
      <name val="Arial"/>
      <family val="2"/>
    </font>
    <font>
      <i/>
      <sz val="7"/>
      <name val="Arial CE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left" vertical="center"/>
    </xf>
    <xf numFmtId="0" fontId="0" fillId="0" borderId="1" xfId="0" applyFill="1" applyBorder="1" applyAlignment="1" quotePrefix="1">
      <alignment horizontal="left" vertical="center"/>
    </xf>
    <xf numFmtId="0" fontId="0" fillId="0" borderId="3" xfId="0" applyFill="1" applyBorder="1" applyAlignment="1" quotePrefix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39" fillId="0" borderId="0" xfId="0" applyFont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0" fillId="0" borderId="22" xfId="0" applyFont="1" applyBorder="1" applyAlignment="1">
      <alignment/>
    </xf>
    <xf numFmtId="0" fontId="42" fillId="0" borderId="22" xfId="0" applyFont="1" applyBorder="1" applyAlignment="1">
      <alignment/>
    </xf>
    <xf numFmtId="0" fontId="41" fillId="0" borderId="22" xfId="0" applyFont="1" applyBorder="1" applyAlignment="1">
      <alignment/>
    </xf>
    <xf numFmtId="0" fontId="2" fillId="0" borderId="22" xfId="17" applyBorder="1" applyAlignment="1">
      <alignment/>
    </xf>
    <xf numFmtId="0" fontId="4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 quotePrefix="1">
      <alignment vertical="center"/>
    </xf>
    <xf numFmtId="0" fontId="0" fillId="0" borderId="4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  <protection hidden="1"/>
    </xf>
    <xf numFmtId="0" fontId="14" fillId="3" borderId="39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10" fillId="0" borderId="13" xfId="17" applyFont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0" fillId="2" borderId="0" xfId="0" applyFont="1" applyFill="1" applyAlignment="1" quotePrefix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0" fontId="27" fillId="0" borderId="4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12" fillId="5" borderId="0" xfId="0" applyFont="1" applyFill="1" applyAlignment="1" applyProtection="1" quotePrefix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2" fontId="12" fillId="0" borderId="0" xfId="0" applyNumberFormat="1" applyFont="1" applyAlignment="1" applyProtection="1">
      <alignment horizontal="right" vertical="center"/>
      <protection hidden="1"/>
    </xf>
    <xf numFmtId="0" fontId="12" fillId="0" borderId="40" xfId="0" applyFont="1" applyFill="1" applyBorder="1" applyAlignment="1" applyProtection="1">
      <alignment vertical="center"/>
      <protection hidden="1"/>
    </xf>
    <xf numFmtId="0" fontId="12" fillId="0" borderId="40" xfId="0" applyFont="1" applyFill="1" applyBorder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2" fontId="12" fillId="0" borderId="0" xfId="0" applyNumberFormat="1" applyFont="1" applyAlignment="1" applyProtection="1">
      <alignment horizontal="left" vertical="center"/>
      <protection hidden="1"/>
    </xf>
    <xf numFmtId="0" fontId="38" fillId="5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78" fontId="12" fillId="5" borderId="1" xfId="0" applyNumberFormat="1" applyFont="1" applyFill="1" applyBorder="1" applyAlignment="1" applyProtection="1">
      <alignment horizontal="right" vertical="center"/>
      <protection hidden="1" locked="0"/>
    </xf>
    <xf numFmtId="178" fontId="12" fillId="0" borderId="0" xfId="0" applyNumberFormat="1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178" fontId="12" fillId="0" borderId="0" xfId="0" applyNumberFormat="1" applyFont="1" applyFill="1" applyAlignment="1" applyProtection="1">
      <alignment horizontal="righ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179" fontId="12" fillId="5" borderId="1" xfId="0" applyNumberFormat="1" applyFont="1" applyFill="1" applyBorder="1" applyAlignment="1" applyProtection="1">
      <alignment horizontal="right" vertical="center"/>
      <protection hidden="1" locked="0"/>
    </xf>
    <xf numFmtId="179" fontId="12" fillId="0" borderId="0" xfId="0" applyNumberFormat="1" applyFont="1" applyAlignment="1" applyProtection="1">
      <alignment vertical="center"/>
      <protection hidden="1"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79" fontId="12" fillId="0" borderId="0" xfId="0" applyNumberFormat="1" applyFont="1" applyFill="1" applyAlignment="1" applyProtection="1">
      <alignment horizontal="right" vertical="center"/>
      <protection hidden="1"/>
    </xf>
    <xf numFmtId="179" fontId="12" fillId="0" borderId="0" xfId="0" applyNumberFormat="1" applyFont="1" applyFill="1" applyAlignment="1" applyProtection="1">
      <alignment horizontal="center" vertical="center"/>
      <protection hidden="1"/>
    </xf>
    <xf numFmtId="179" fontId="12" fillId="0" borderId="0" xfId="0" applyNumberFormat="1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178" fontId="14" fillId="0" borderId="0" xfId="0" applyNumberFormat="1" applyFont="1" applyFill="1" applyAlignment="1" applyProtection="1">
      <alignment horizontal="right" vertical="center"/>
      <protection hidden="1"/>
    </xf>
    <xf numFmtId="178" fontId="12" fillId="0" borderId="0" xfId="0" applyNumberFormat="1" applyFont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179" fontId="14" fillId="3" borderId="39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1" fontId="12" fillId="0" borderId="0" xfId="0" applyNumberFormat="1" applyFont="1" applyFill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2" fontId="12" fillId="0" borderId="0" xfId="0" applyNumberFormat="1" applyFont="1" applyFill="1" applyAlignment="1" applyProtection="1">
      <alignment horizontal="right"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vertical="center"/>
      <protection hidden="1"/>
    </xf>
    <xf numFmtId="179" fontId="12" fillId="4" borderId="0" xfId="0" applyNumberFormat="1" applyFont="1" applyFill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left" vertical="center"/>
      <protection hidden="1"/>
    </xf>
    <xf numFmtId="0" fontId="13" fillId="4" borderId="0" xfId="0" applyFont="1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 locked="0"/>
    </xf>
    <xf numFmtId="0" fontId="24" fillId="2" borderId="0" xfId="0" applyFont="1" applyFill="1" applyAlignment="1" applyProtection="1">
      <alignment vertical="center"/>
      <protection hidden="1" locked="0"/>
    </xf>
    <xf numFmtId="2" fontId="14" fillId="0" borderId="0" xfId="0" applyNumberFormat="1" applyFont="1" applyFill="1" applyBorder="1" applyAlignment="1" applyProtection="1">
      <alignment horizontal="right" vertical="center"/>
      <protection hidden="1"/>
    </xf>
    <xf numFmtId="2" fontId="12" fillId="0" borderId="0" xfId="0" applyNumberFormat="1" applyFont="1" applyFill="1" applyBorder="1" applyAlignment="1" applyProtection="1">
      <alignment horizontal="right" vertical="center"/>
      <protection hidden="1" locked="0"/>
    </xf>
    <xf numFmtId="2" fontId="12" fillId="5" borderId="1" xfId="0" applyNumberFormat="1" applyFont="1" applyFill="1" applyBorder="1" applyAlignment="1" applyProtection="1">
      <alignment horizontal="right" vertical="center"/>
      <protection hidden="1" locked="0"/>
    </xf>
    <xf numFmtId="0" fontId="12" fillId="2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40" xfId="0" applyFont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78" fontId="24" fillId="0" borderId="0" xfId="0" applyNumberFormat="1" applyFont="1" applyFill="1" applyBorder="1" applyAlignment="1" applyProtection="1">
      <alignment horizontal="right" vertical="center"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12" fillId="0" borderId="41" xfId="0" applyFont="1" applyBorder="1" applyAlignment="1" applyProtection="1">
      <alignment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178" fontId="12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 locked="0"/>
    </xf>
    <xf numFmtId="178" fontId="24" fillId="0" borderId="0" xfId="0" applyNumberFormat="1" applyFont="1" applyFill="1" applyBorder="1" applyAlignment="1" applyProtection="1">
      <alignment vertical="center"/>
      <protection hidden="1" locked="0"/>
    </xf>
    <xf numFmtId="179" fontId="0" fillId="0" borderId="5" xfId="0" applyNumberFormat="1" applyFill="1" applyBorder="1" applyAlignment="1">
      <alignment horizontal="center" vertical="center"/>
    </xf>
    <xf numFmtId="179" fontId="0" fillId="0" borderId="6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 quotePrefix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/>
    </xf>
    <xf numFmtId="0" fontId="9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27" fillId="0" borderId="40" xfId="0" applyFont="1" applyBorder="1" applyAlignment="1" applyProtection="1">
      <alignment horizontal="left" vertical="top" wrapText="1"/>
      <protection hidden="1"/>
    </xf>
    <xf numFmtId="0" fontId="27" fillId="6" borderId="38" xfId="0" applyFont="1" applyFill="1" applyBorder="1" applyAlignment="1" applyProtection="1">
      <alignment horizontal="center" vertical="center"/>
      <protection hidden="1"/>
    </xf>
    <xf numFmtId="0" fontId="27" fillId="6" borderId="39" xfId="0" applyFont="1" applyFill="1" applyBorder="1" applyAlignment="1" applyProtection="1">
      <alignment horizontal="center" vertical="center"/>
      <protection hidden="1"/>
    </xf>
    <xf numFmtId="0" fontId="27" fillId="6" borderId="44" xfId="0" applyFont="1" applyFill="1" applyBorder="1" applyAlignment="1" applyProtection="1">
      <alignment horizontal="center" vertical="center"/>
      <protection hidden="1"/>
    </xf>
    <xf numFmtId="0" fontId="14" fillId="3" borderId="38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4" fillId="3" borderId="44" xfId="0" applyFont="1" applyFill="1" applyBorder="1" applyAlignment="1" applyProtection="1">
      <alignment horizontal="center" vertical="center"/>
      <protection hidden="1"/>
    </xf>
    <xf numFmtId="0" fontId="12" fillId="6" borderId="45" xfId="0" applyFont="1" applyFill="1" applyBorder="1" applyAlignment="1" applyProtection="1">
      <alignment horizontal="center" vertical="center"/>
      <protection hidden="1"/>
    </xf>
    <xf numFmtId="0" fontId="12" fillId="6" borderId="32" xfId="0" applyFont="1" applyFill="1" applyBorder="1" applyAlignment="1" applyProtection="1">
      <alignment horizontal="center" vertical="center"/>
      <protection hidden="1"/>
    </xf>
    <xf numFmtId="0" fontId="12" fillId="6" borderId="31" xfId="0" applyFont="1" applyFill="1" applyBorder="1" applyAlignment="1" applyProtection="1">
      <alignment horizontal="center" vertical="center"/>
      <protection hidden="1"/>
    </xf>
    <xf numFmtId="0" fontId="14" fillId="3" borderId="39" xfId="0" applyFont="1" applyFill="1" applyBorder="1" applyAlignment="1" applyProtection="1" quotePrefix="1">
      <alignment horizontal="center" vertical="center"/>
      <protection hidden="1"/>
    </xf>
    <xf numFmtId="0" fontId="14" fillId="3" borderId="39" xfId="0" applyFont="1" applyFill="1" applyBorder="1" applyAlignment="1" applyProtection="1">
      <alignment horizontal="center" vertical="center"/>
      <protection hidden="1"/>
    </xf>
    <xf numFmtId="0" fontId="14" fillId="3" borderId="44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12" fillId="5" borderId="45" xfId="0" applyFont="1" applyFill="1" applyBorder="1" applyAlignment="1" applyProtection="1">
      <alignment horizontal="center" vertical="center"/>
      <protection hidden="1" locked="0"/>
    </xf>
    <xf numFmtId="0" fontId="12" fillId="5" borderId="32" xfId="0" applyFont="1" applyFill="1" applyBorder="1" applyAlignment="1" applyProtection="1">
      <alignment horizontal="center" vertical="center"/>
      <protection hidden="1" locked="0"/>
    </xf>
    <xf numFmtId="0" fontId="12" fillId="5" borderId="31" xfId="0" applyFont="1" applyFill="1" applyBorder="1" applyAlignment="1" applyProtection="1">
      <alignment horizontal="center" vertical="center"/>
      <protection hidden="1" locked="0"/>
    </xf>
    <xf numFmtId="49" fontId="12" fillId="5" borderId="45" xfId="0" applyNumberFormat="1" applyFont="1" applyFill="1" applyBorder="1" applyAlignment="1" applyProtection="1">
      <alignment horizontal="center" vertical="center"/>
      <protection hidden="1" locked="0"/>
    </xf>
    <xf numFmtId="49" fontId="12" fillId="5" borderId="32" xfId="0" applyNumberFormat="1" applyFont="1" applyFill="1" applyBorder="1" applyAlignment="1" applyProtection="1">
      <alignment horizontal="center" vertical="center"/>
      <protection hidden="1" locked="0"/>
    </xf>
    <xf numFmtId="49" fontId="12" fillId="5" borderId="3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49" fontId="28" fillId="0" borderId="45" xfId="0" applyNumberFormat="1" applyFont="1" applyBorder="1" applyAlignment="1" applyProtection="1">
      <alignment horizontal="left" vertical="center"/>
      <protection hidden="1" locked="0"/>
    </xf>
    <xf numFmtId="49" fontId="28" fillId="0" borderId="32" xfId="0" applyNumberFormat="1" applyFont="1" applyBorder="1" applyAlignment="1" applyProtection="1">
      <alignment horizontal="left" vertical="center"/>
      <protection hidden="1" locked="0"/>
    </xf>
    <xf numFmtId="49" fontId="28" fillId="0" borderId="31" xfId="0" applyNumberFormat="1" applyFont="1" applyBorder="1" applyAlignment="1" applyProtection="1">
      <alignment horizontal="left" vertic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5" borderId="45" xfId="0" applyFont="1" applyFill="1" applyBorder="1" applyAlignment="1" applyProtection="1">
      <alignment horizontal="center" vertical="center"/>
      <protection hidden="1"/>
    </xf>
    <xf numFmtId="0" fontId="12" fillId="5" borderId="32" xfId="0" applyFont="1" applyFill="1" applyBorder="1" applyAlignment="1" applyProtection="1">
      <alignment horizontal="center" vertical="center"/>
      <protection hidden="1"/>
    </xf>
    <xf numFmtId="0" fontId="12" fillId="5" borderId="31" xfId="0" applyFont="1" applyFill="1" applyBorder="1" applyAlignment="1" applyProtection="1">
      <alignment horizontal="center" vertical="center"/>
      <protection hidden="1"/>
    </xf>
    <xf numFmtId="0" fontId="14" fillId="3" borderId="38" xfId="0" applyFont="1" applyFill="1" applyBorder="1" applyAlignment="1" applyProtection="1">
      <alignment horizontal="center" vertical="center"/>
      <protection hidden="1"/>
    </xf>
    <xf numFmtId="0" fontId="14" fillId="3" borderId="39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5" fillId="2" borderId="5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3" xfId="0" applyFont="1" applyBorder="1" applyAlignment="1">
      <alignment horizontal="right" vertical="top"/>
    </xf>
    <xf numFmtId="0" fontId="9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0" fillId="0" borderId="5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2">
    <dxf>
      <fill>
        <patternFill>
          <bgColor rgb="FFFFFF99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FFFF99"/>
      </font>
      <border/>
    </dxf>
    <dxf>
      <font>
        <b val="0"/>
        <i val="0"/>
        <color auto="1"/>
      </font>
      <border/>
    </dxf>
    <dxf>
      <font>
        <b/>
        <i val="0"/>
        <color auto="1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border/>
    </dxf>
    <dxf>
      <font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emf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5</xdr:col>
      <xdr:colOff>247650</xdr:colOff>
      <xdr:row>1</xdr:row>
      <xdr:rowOff>504825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90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77</xdr:row>
      <xdr:rowOff>180975</xdr:rowOff>
    </xdr:from>
    <xdr:to>
      <xdr:col>14</xdr:col>
      <xdr:colOff>342900</xdr:colOff>
      <xdr:row>91</xdr:row>
      <xdr:rowOff>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0858500"/>
          <a:ext cx="13716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64</xdr:row>
      <xdr:rowOff>161925</xdr:rowOff>
    </xdr:from>
    <xdr:to>
      <xdr:col>16</xdr:col>
      <xdr:colOff>266700</xdr:colOff>
      <xdr:row>73</xdr:row>
      <xdr:rowOff>123825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9086850"/>
          <a:ext cx="2838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20</xdr:row>
      <xdr:rowOff>38100</xdr:rowOff>
    </xdr:from>
    <xdr:to>
      <xdr:col>1</xdr:col>
      <xdr:colOff>1876425</xdr:colOff>
      <xdr:row>27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86150"/>
          <a:ext cx="1800225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66675</xdr:colOff>
      <xdr:row>55</xdr:row>
      <xdr:rowOff>28575</xdr:rowOff>
    </xdr:from>
    <xdr:to>
      <xdr:col>1</xdr:col>
      <xdr:colOff>1895475</xdr:colOff>
      <xdr:row>61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163050"/>
          <a:ext cx="18288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44</xdr:row>
      <xdr:rowOff>38100</xdr:rowOff>
    </xdr:from>
    <xdr:to>
      <xdr:col>1</xdr:col>
      <xdr:colOff>1885950</xdr:colOff>
      <xdr:row>51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7381875"/>
          <a:ext cx="18097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9525</xdr:rowOff>
    </xdr:from>
    <xdr:to>
      <xdr:col>2</xdr:col>
      <xdr:colOff>2924175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2971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luz.cz/index.php?html_id=200250&amp;menu_id=200000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eluz.cz/index.php?html_id=200280&amp;menu_id=200000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eluz.cz/" TargetMode="External" /><Relationship Id="rId2" Type="http://schemas.openxmlformats.org/officeDocument/2006/relationships/hyperlink" Target="http://concrete.fsv.cvut.cz/~kosatka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75390625" style="138" customWidth="1"/>
    <col min="2" max="2" width="5.75390625" style="138" customWidth="1"/>
    <col min="3" max="3" width="2.75390625" style="138" customWidth="1"/>
    <col min="4" max="4" width="8.75390625" style="138" customWidth="1"/>
    <col min="5" max="5" width="5.75390625" style="138" customWidth="1"/>
    <col min="6" max="6" width="4.75390625" style="138" customWidth="1"/>
    <col min="7" max="7" width="6.75390625" style="204" customWidth="1"/>
    <col min="8" max="8" width="2.75390625" style="204" customWidth="1"/>
    <col min="9" max="9" width="8.75390625" style="204" customWidth="1"/>
    <col min="10" max="17" width="5.75390625" style="204" customWidth="1"/>
    <col min="18" max="18" width="2.75390625" style="204" customWidth="1"/>
    <col min="19" max="19" width="7.75390625" style="204" customWidth="1"/>
    <col min="20" max="20" width="5.75390625" style="204" customWidth="1"/>
    <col min="21" max="21" width="3.75390625" style="138" customWidth="1"/>
    <col min="22" max="22" width="4.00390625" style="138" customWidth="1"/>
    <col min="23" max="23" width="62.625" style="205" hidden="1" customWidth="1"/>
    <col min="24" max="27" width="5.625" style="243" hidden="1" customWidth="1"/>
    <col min="28" max="16384" width="9.125" style="138" customWidth="1"/>
  </cols>
  <sheetData>
    <row r="1" spans="1:27" ht="12.75">
      <c r="A1" s="136"/>
      <c r="B1" s="136"/>
      <c r="C1" s="136"/>
      <c r="D1" s="136"/>
      <c r="E1" s="136"/>
      <c r="F1" s="136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6"/>
      <c r="W1" s="139"/>
      <c r="X1" s="240"/>
      <c r="Y1" s="240"/>
      <c r="Z1" s="240"/>
      <c r="AA1" s="240"/>
    </row>
    <row r="2" spans="1:27" ht="52.5" customHeight="1">
      <c r="A2" s="136"/>
      <c r="B2" s="140"/>
      <c r="C2" s="140"/>
      <c r="D2" s="140"/>
      <c r="E2" s="140"/>
      <c r="F2" s="140"/>
      <c r="G2" s="253" t="s">
        <v>140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136"/>
      <c r="W2" s="139" t="s">
        <v>111</v>
      </c>
      <c r="X2" s="243" t="s">
        <v>118</v>
      </c>
      <c r="Y2" s="241"/>
      <c r="Z2" s="241"/>
      <c r="AA2" s="241"/>
    </row>
    <row r="3" spans="1:27" ht="6" customHeight="1">
      <c r="A3" s="136"/>
      <c r="B3" s="136"/>
      <c r="C3" s="136"/>
      <c r="D3" s="136"/>
      <c r="E3" s="136"/>
      <c r="F3" s="136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136"/>
      <c r="W3" s="139"/>
      <c r="X3" s="242"/>
      <c r="Y3" s="242"/>
      <c r="Z3" s="242"/>
      <c r="AA3" s="242"/>
    </row>
    <row r="4" spans="1:23" ht="15" customHeight="1">
      <c r="A4" s="136"/>
      <c r="B4" s="145" t="s">
        <v>101</v>
      </c>
      <c r="C4" s="146"/>
      <c r="D4" s="146"/>
      <c r="E4" s="146"/>
      <c r="F4" s="146"/>
      <c r="G4" s="147"/>
      <c r="H4" s="147"/>
      <c r="I4" s="276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136"/>
      <c r="W4" s="139"/>
    </row>
    <row r="5" spans="1:27" ht="3" customHeight="1">
      <c r="A5" s="136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36"/>
      <c r="W5" s="144" t="s">
        <v>310</v>
      </c>
      <c r="X5" s="243" t="str">
        <f>'Malty HELUZ'!B5</f>
        <v>HELUZ malta pro broušené zdivo</v>
      </c>
      <c r="Y5" s="243" t="str">
        <f>'Malty HELUZ'!B8</f>
        <v>HELUZ malta pro obvodové zdivo (nebroušené)</v>
      </c>
      <c r="Z5" s="244" t="s">
        <v>130</v>
      </c>
      <c r="AA5" s="243" t="s">
        <v>172</v>
      </c>
    </row>
    <row r="6" spans="1:27" ht="15" customHeight="1">
      <c r="A6" s="136"/>
      <c r="B6" s="145" t="s">
        <v>367</v>
      </c>
      <c r="C6" s="146"/>
      <c r="D6" s="146"/>
      <c r="E6" s="146"/>
      <c r="F6" s="146"/>
      <c r="G6" s="147"/>
      <c r="H6" s="147"/>
      <c r="I6" s="276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136"/>
      <c r="W6" s="139" t="str">
        <f>'Cihly HELUZ'!B20</f>
        <v>Obvodové zdivo</v>
      </c>
      <c r="X6" s="243" t="str">
        <f>'Malty HELUZ'!C6</f>
        <v>HELUZ celoplošné lepidlo (malta pro zdění na celoplošnou tenkou spáru)</v>
      </c>
      <c r="Y6" s="243" t="str">
        <f>'Malty HELUZ'!C8</f>
        <v>TM 39 tepelněizolační malta</v>
      </c>
      <c r="Z6" s="243" t="str">
        <f>IF(ISERROR(FIND("broušená",'&gt;&gt;&gt; Výpočet &lt;&lt;&lt;'!I26)),"Obyčejná malta","Malta pro tenké spáry (0,5 - 3 mm)")</f>
        <v>Obyčejná malta</v>
      </c>
      <c r="AA6" s="243" t="s">
        <v>172</v>
      </c>
    </row>
    <row r="7" spans="1:27" ht="3" customHeight="1">
      <c r="A7" s="136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36"/>
      <c r="W7" s="139" t="str">
        <f>'Cihly HELUZ'!B44</f>
        <v>Vnitřní nosné zdivo</v>
      </c>
      <c r="X7" s="243" t="str">
        <f>'Malty HELUZ'!C5</f>
        <v>HELUZ lepidlo (malta pro zdění na tenkou spáru)</v>
      </c>
      <c r="Y7" s="243" t="str">
        <f>'Malty HELUZ'!C9</f>
        <v>TM 34 tepelněizolační malta</v>
      </c>
      <c r="Z7" s="243" t="str">
        <f>IF(ISERROR(FIND("broušená",'&gt;&gt;&gt; Výpočet &lt;&lt;&lt;'!I26)),"Lehká malta (600 - 800 kg.m-3)","--")</f>
        <v>Lehká malta (600 - 800 kg.m-3)</v>
      </c>
      <c r="AA7" s="245" t="s">
        <v>309</v>
      </c>
    </row>
    <row r="8" spans="1:27" ht="15" customHeight="1">
      <c r="A8" s="136"/>
      <c r="B8" s="145" t="s">
        <v>102</v>
      </c>
      <c r="C8" s="146"/>
      <c r="D8" s="146"/>
      <c r="E8" s="146"/>
      <c r="F8" s="146"/>
      <c r="G8" s="147"/>
      <c r="H8" s="147"/>
      <c r="I8" s="276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8"/>
      <c r="U8" s="136"/>
      <c r="W8" s="139" t="str">
        <f>'Cihly HELUZ'!B55</f>
        <v>Zvukověizolační zdivo</v>
      </c>
      <c r="X8" s="243" t="str">
        <f>'Malty HELUZ'!C7</f>
        <v>HELUZ pěna</v>
      </c>
      <c r="Y8" s="243" t="str">
        <f>'Malty HELUZ'!C10</f>
        <v>TM HELUZ TREND</v>
      </c>
      <c r="Z8" s="243" t="str">
        <f>IF(ISERROR(FIND("broušená",'&gt;&gt;&gt; Výpočet &lt;&lt;&lt;'!I26)),"Lehká malta (800 - 1300 kg.m-3)","--")</f>
        <v>Lehká malta (800 - 1300 kg.m-3)</v>
      </c>
      <c r="AA8" s="245" t="s">
        <v>309</v>
      </c>
    </row>
    <row r="9" spans="1:27" ht="3" customHeight="1">
      <c r="A9" s="136"/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36"/>
      <c r="W9" s="139" t="str">
        <f>'Cihly HELUZ'!B63</f>
        <v>Maloformátové cihly</v>
      </c>
      <c r="X9" s="245"/>
      <c r="Y9" s="245"/>
      <c r="Z9" s="245"/>
      <c r="AA9" s="245"/>
    </row>
    <row r="10" spans="1:23" ht="15" customHeight="1">
      <c r="A10" s="136"/>
      <c r="B10" s="148" t="s">
        <v>103</v>
      </c>
      <c r="C10" s="149"/>
      <c r="D10" s="149"/>
      <c r="E10" s="149"/>
      <c r="F10" s="149"/>
      <c r="G10" s="147"/>
      <c r="H10" s="147"/>
      <c r="I10" s="276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  <c r="U10" s="136"/>
      <c r="W10" s="139"/>
    </row>
    <row r="11" spans="1:25" ht="6" customHeight="1">
      <c r="A11" s="136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36"/>
      <c r="W11" s="144" t="s">
        <v>310</v>
      </c>
      <c r="X11" s="243" t="s">
        <v>79</v>
      </c>
      <c r="Y11" s="243" t="s">
        <v>305</v>
      </c>
    </row>
    <row r="12" spans="1:25" ht="6" customHeight="1">
      <c r="A12" s="136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36"/>
      <c r="W12" s="139" t="e">
        <f>HLOOKUP($I$22,'Cihly HELUZ'!$N$6:$Q$14,2,FALSE)</f>
        <v>#N/A</v>
      </c>
      <c r="X12" s="246" t="s">
        <v>80</v>
      </c>
      <c r="Y12" s="243">
        <v>2</v>
      </c>
    </row>
    <row r="13" spans="1:25" ht="15" customHeight="1">
      <c r="A13" s="136"/>
      <c r="B13" s="145" t="s">
        <v>135</v>
      </c>
      <c r="C13" s="136"/>
      <c r="D13" s="136"/>
      <c r="E13" s="136"/>
      <c r="F13" s="136"/>
      <c r="G13" s="137"/>
      <c r="H13" s="137"/>
      <c r="I13" s="280" t="s">
        <v>314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2"/>
      <c r="U13" s="136"/>
      <c r="W13" s="139" t="e">
        <f>HLOOKUP($I$22,'Cihly HELUZ'!$N$6:$Q$14,3,FALSE)</f>
        <v>#N/A</v>
      </c>
      <c r="X13" s="247" t="s">
        <v>81</v>
      </c>
      <c r="Y13" s="243">
        <v>3</v>
      </c>
    </row>
    <row r="14" spans="1:25" ht="3" customHeight="1">
      <c r="A14" s="136"/>
      <c r="B14" s="136"/>
      <c r="C14" s="136"/>
      <c r="D14" s="136"/>
      <c r="E14" s="136"/>
      <c r="F14" s="136"/>
      <c r="G14" s="137"/>
      <c r="H14" s="137"/>
      <c r="I14" s="150"/>
      <c r="J14" s="150"/>
      <c r="K14" s="150"/>
      <c r="L14" s="150"/>
      <c r="M14" s="151"/>
      <c r="N14" s="151"/>
      <c r="O14" s="151"/>
      <c r="P14" s="151"/>
      <c r="Q14" s="151"/>
      <c r="R14" s="151"/>
      <c r="S14" s="151"/>
      <c r="T14" s="151"/>
      <c r="U14" s="136"/>
      <c r="W14" s="139" t="e">
        <f>HLOOKUP($I$22,'Cihly HELUZ'!$N$6:$Q$14,4,FALSE)</f>
        <v>#N/A</v>
      </c>
      <c r="X14" s="246" t="s">
        <v>82</v>
      </c>
      <c r="Y14" s="243">
        <v>4</v>
      </c>
    </row>
    <row r="15" spans="1:25" ht="15" customHeight="1">
      <c r="A15" s="136"/>
      <c r="B15" s="136"/>
      <c r="C15" s="136"/>
      <c r="D15" s="136"/>
      <c r="E15" s="136"/>
      <c r="F15" s="136"/>
      <c r="G15" s="137"/>
      <c r="H15" s="137"/>
      <c r="I15" s="261" t="s">
        <v>267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  <c r="U15" s="136"/>
      <c r="W15" s="139" t="e">
        <f>HLOOKUP($I$22,'Cihly HELUZ'!$N$6:$Q$14,5,FALSE)</f>
        <v>#N/A</v>
      </c>
      <c r="X15" s="246" t="s">
        <v>83</v>
      </c>
      <c r="Y15" s="243">
        <v>8</v>
      </c>
    </row>
    <row r="16" spans="1:25" ht="3" customHeight="1" thickBot="1">
      <c r="A16" s="136"/>
      <c r="B16" s="136"/>
      <c r="C16" s="136"/>
      <c r="D16" s="136"/>
      <c r="E16" s="136"/>
      <c r="F16" s="136"/>
      <c r="G16" s="137"/>
      <c r="H16" s="137"/>
      <c r="I16" s="150"/>
      <c r="J16" s="150"/>
      <c r="K16" s="150"/>
      <c r="L16" s="150"/>
      <c r="M16" s="151"/>
      <c r="N16" s="151"/>
      <c r="O16" s="151"/>
      <c r="P16" s="151"/>
      <c r="Q16" s="151"/>
      <c r="R16" s="151"/>
      <c r="S16" s="151"/>
      <c r="T16" s="151"/>
      <c r="U16" s="136"/>
      <c r="W16" s="139" t="e">
        <f>HLOOKUP($I$22,'Cihly HELUZ'!$N$6:$Q$14,6,FALSE)</f>
        <v>#N/A</v>
      </c>
      <c r="X16" s="246" t="s">
        <v>84</v>
      </c>
      <c r="Y16" s="243">
        <v>8</v>
      </c>
    </row>
    <row r="17" spans="1:25" ht="15" customHeight="1" thickBot="1">
      <c r="A17" s="136"/>
      <c r="B17" s="136"/>
      <c r="C17" s="136"/>
      <c r="D17" s="136"/>
      <c r="E17" s="136"/>
      <c r="F17" s="136"/>
      <c r="G17" s="137"/>
      <c r="H17" s="137"/>
      <c r="I17" s="283" t="s">
        <v>264</v>
      </c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60"/>
      <c r="U17" s="136"/>
      <c r="W17" s="139" t="e">
        <f>HLOOKUP($I$22,'Cihly HELUZ'!$N$6:$Q$14,7,FALSE)</f>
        <v>#N/A</v>
      </c>
      <c r="X17" s="246" t="s">
        <v>85</v>
      </c>
      <c r="Y17" s="243">
        <v>5</v>
      </c>
    </row>
    <row r="18" spans="1:25" ht="6" customHeight="1">
      <c r="A18" s="136"/>
      <c r="B18" s="140"/>
      <c r="C18" s="140"/>
      <c r="D18" s="140"/>
      <c r="E18" s="140"/>
      <c r="F18" s="140"/>
      <c r="G18" s="152"/>
      <c r="H18" s="152"/>
      <c r="I18" s="152"/>
      <c r="J18" s="152"/>
      <c r="K18" s="140"/>
      <c r="L18" s="152"/>
      <c r="M18" s="152"/>
      <c r="N18" s="152"/>
      <c r="O18" s="152"/>
      <c r="P18" s="152"/>
      <c r="Q18" s="152"/>
      <c r="R18" s="152"/>
      <c r="S18" s="152"/>
      <c r="T18" s="152"/>
      <c r="U18" s="136"/>
      <c r="W18" s="139" t="e">
        <f>HLOOKUP($I$22,'Cihly HELUZ'!$N$6:$Q$14,8,FALSE)</f>
        <v>#N/A</v>
      </c>
      <c r="X18" s="243" t="s">
        <v>125</v>
      </c>
      <c r="Y18" s="243">
        <f>IF('&gt;&gt;&gt; Výpočet &lt;&lt;&lt;'!S42=10,6,IF('&gt;&gt;&gt; Výpočet &lt;&lt;&lt;'!S42=5,7,9))</f>
        <v>9</v>
      </c>
    </row>
    <row r="19" spans="1:25" ht="3" customHeight="1">
      <c r="A19" s="136"/>
      <c r="B19" s="136"/>
      <c r="C19" s="136"/>
      <c r="D19" s="136"/>
      <c r="E19" s="136"/>
      <c r="F19" s="136"/>
      <c r="G19" s="137"/>
      <c r="H19" s="137"/>
      <c r="I19" s="137"/>
      <c r="J19" s="137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6"/>
      <c r="W19" s="139" t="e">
        <f>HLOOKUP($I$22,'Cihly HELUZ'!$N$6:$Q$14,9,FALSE)</f>
        <v>#N/A</v>
      </c>
      <c r="X19" s="243" t="s">
        <v>178</v>
      </c>
      <c r="Y19" s="243">
        <v>9</v>
      </c>
    </row>
    <row r="20" spans="1:25" ht="15" customHeight="1">
      <c r="A20" s="136"/>
      <c r="B20" s="145" t="s">
        <v>156</v>
      </c>
      <c r="C20" s="136"/>
      <c r="D20" s="136"/>
      <c r="E20" s="136"/>
      <c r="F20" s="136"/>
      <c r="G20" s="136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6"/>
      <c r="W20" s="139"/>
      <c r="X20" s="243" t="s">
        <v>231</v>
      </c>
      <c r="Y20" s="243">
        <f>IF('&gt;&gt;&gt; Výpočet &lt;&lt;&lt;'!S42=5,8,9)</f>
        <v>9</v>
      </c>
    </row>
    <row r="21" spans="1:25" ht="3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37"/>
      <c r="N21" s="137"/>
      <c r="O21" s="137"/>
      <c r="P21" s="137"/>
      <c r="Q21" s="137"/>
      <c r="R21" s="137"/>
      <c r="S21" s="137"/>
      <c r="T21" s="137"/>
      <c r="U21" s="136"/>
      <c r="W21" s="144" t="s">
        <v>310</v>
      </c>
      <c r="X21" s="243" t="s">
        <v>232</v>
      </c>
      <c r="Y21" s="243">
        <f>IF('&gt;&gt;&gt; Výpočet &lt;&lt;&lt;'!S42=5,8,9)</f>
        <v>9</v>
      </c>
    </row>
    <row r="22" spans="1:23" ht="15" customHeight="1">
      <c r="A22" s="136"/>
      <c r="B22" s="136" t="s">
        <v>71</v>
      </c>
      <c r="C22" s="136"/>
      <c r="D22" s="136"/>
      <c r="E22" s="136"/>
      <c r="F22" s="136"/>
      <c r="G22" s="136"/>
      <c r="H22" s="137"/>
      <c r="I22" s="268" t="s">
        <v>310</v>
      </c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70"/>
      <c r="U22" s="136"/>
      <c r="W22" s="139" t="e">
        <f>HLOOKUP($I$24,'Cihly HELUZ'!$N$16:$AE$22,2,FALSE)</f>
        <v>#N/A</v>
      </c>
    </row>
    <row r="23" spans="1:23" ht="3" customHeight="1">
      <c r="A23" s="136"/>
      <c r="B23" s="153"/>
      <c r="C23" s="153"/>
      <c r="D23" s="153"/>
      <c r="E23" s="153"/>
      <c r="F23" s="153"/>
      <c r="G23" s="153"/>
      <c r="H23" s="137"/>
      <c r="I23" s="154"/>
      <c r="J23" s="154"/>
      <c r="K23" s="154"/>
      <c r="L23" s="154"/>
      <c r="M23" s="155"/>
      <c r="N23" s="137"/>
      <c r="O23" s="137"/>
      <c r="P23" s="137"/>
      <c r="Q23" s="137"/>
      <c r="R23" s="137"/>
      <c r="S23" s="137"/>
      <c r="T23" s="137"/>
      <c r="U23" s="136"/>
      <c r="W23" s="139" t="e">
        <f>HLOOKUP($I$24,'Cihly HELUZ'!$N$16:$AE$22,3,FALSE)</f>
        <v>#N/A</v>
      </c>
    </row>
    <row r="24" spans="1:23" ht="15" customHeight="1">
      <c r="A24" s="136"/>
      <c r="B24" s="136" t="s">
        <v>152</v>
      </c>
      <c r="C24" s="136"/>
      <c r="D24" s="136"/>
      <c r="E24" s="136"/>
      <c r="F24" s="136"/>
      <c r="G24" s="136"/>
      <c r="H24" s="137"/>
      <c r="I24" s="268" t="s">
        <v>310</v>
      </c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  <c r="U24" s="136"/>
      <c r="W24" s="139" t="e">
        <f>HLOOKUP($I$24,'Cihly HELUZ'!$N$16:$AE$22,4,FALSE)</f>
        <v>#N/A</v>
      </c>
    </row>
    <row r="25" spans="1:23" ht="3" customHeight="1">
      <c r="A25" s="136"/>
      <c r="B25" s="153"/>
      <c r="C25" s="153"/>
      <c r="D25" s="153"/>
      <c r="E25" s="153"/>
      <c r="F25" s="153"/>
      <c r="G25" s="153"/>
      <c r="H25" s="137"/>
      <c r="I25" s="154"/>
      <c r="J25" s="154"/>
      <c r="K25" s="154"/>
      <c r="L25" s="154"/>
      <c r="M25" s="155"/>
      <c r="N25" s="137"/>
      <c r="O25" s="137"/>
      <c r="P25" s="137"/>
      <c r="Q25" s="137"/>
      <c r="R25" s="137"/>
      <c r="S25" s="137"/>
      <c r="T25" s="137"/>
      <c r="U25" s="136"/>
      <c r="W25" s="139" t="e">
        <f>HLOOKUP($I$24,'Cihly HELUZ'!$N$16:$AE$22,5,FALSE)</f>
        <v>#N/A</v>
      </c>
    </row>
    <row r="26" spans="1:23" ht="15" customHeight="1">
      <c r="A26" s="136"/>
      <c r="B26" s="136" t="s">
        <v>153</v>
      </c>
      <c r="C26" s="136"/>
      <c r="D26" s="136"/>
      <c r="E26" s="136"/>
      <c r="F26" s="136"/>
      <c r="G26" s="136"/>
      <c r="H26" s="137"/>
      <c r="I26" s="271" t="s">
        <v>310</v>
      </c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3"/>
      <c r="U26" s="136"/>
      <c r="W26" s="139" t="e">
        <f>HLOOKUP($I$24,'Cihly HELUZ'!$N$16:$AE$22,6,FALSE)</f>
        <v>#N/A</v>
      </c>
    </row>
    <row r="27" spans="1:23" ht="3" customHeight="1">
      <c r="A27" s="136"/>
      <c r="B27" s="153"/>
      <c r="C27" s="153"/>
      <c r="D27" s="153"/>
      <c r="E27" s="153"/>
      <c r="F27" s="153"/>
      <c r="G27" s="153"/>
      <c r="H27" s="137"/>
      <c r="I27" s="154"/>
      <c r="J27" s="154"/>
      <c r="K27" s="154"/>
      <c r="L27" s="154"/>
      <c r="M27" s="155"/>
      <c r="N27" s="137"/>
      <c r="O27" s="137"/>
      <c r="P27" s="137"/>
      <c r="Q27" s="137"/>
      <c r="R27" s="137"/>
      <c r="S27" s="137"/>
      <c r="T27" s="137"/>
      <c r="U27" s="136"/>
      <c r="W27" s="139" t="e">
        <f>HLOOKUP($I$24,'Cihly HELUZ'!$N$16:$AE$22,7,FALSE)</f>
        <v>#N/A</v>
      </c>
    </row>
    <row r="28" spans="1:23" ht="15" customHeight="1">
      <c r="A28" s="136"/>
      <c r="B28" s="136" t="str">
        <f>CONCATENATE("Pevnostní třída ",IF(I24="Cihly HELUZ akustické zalévané","cihly po vylití betonem","cihly"))</f>
        <v>Pevnostní třída cihly</v>
      </c>
      <c r="C28" s="136"/>
      <c r="D28" s="136"/>
      <c r="E28" s="136"/>
      <c r="F28" s="136"/>
      <c r="G28" s="136"/>
      <c r="H28" s="137"/>
      <c r="I28" s="268" t="s">
        <v>310</v>
      </c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70"/>
      <c r="U28" s="136"/>
      <c r="W28" s="139"/>
    </row>
    <row r="29" spans="1:27" s="156" customFormat="1" ht="3" customHeight="1">
      <c r="A29" s="153"/>
      <c r="B29" s="153"/>
      <c r="C29" s="153"/>
      <c r="D29" s="153"/>
      <c r="E29" s="153"/>
      <c r="F29" s="153"/>
      <c r="G29" s="153"/>
      <c r="H29" s="153"/>
      <c r="I29" s="154"/>
      <c r="J29" s="154"/>
      <c r="K29" s="154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W29" s="139"/>
      <c r="X29" s="243"/>
      <c r="Y29" s="243"/>
      <c r="Z29" s="243"/>
      <c r="AA29" s="243"/>
    </row>
    <row r="30" spans="1:23" ht="15" customHeight="1">
      <c r="A30" s="136"/>
      <c r="B30" s="136" t="s">
        <v>261</v>
      </c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7"/>
      <c r="O30" s="137"/>
      <c r="P30" s="137"/>
      <c r="Q30" s="157"/>
      <c r="R30" s="158"/>
      <c r="S30" s="157" t="e">
        <f>CONCATENATE(VLOOKUP(I26,'Cihly HELUZ'!D6:G65,2,FALSE)," x ",VLOOKUP(I26,'Cihly HELUZ'!D6:G65,3,FALSE)," x ",VLOOKUP(I26,'Cihly HELUZ'!D6:G65,4,FALSE))</f>
        <v>#N/A</v>
      </c>
      <c r="T30" s="137" t="s">
        <v>133</v>
      </c>
      <c r="U30" s="136"/>
      <c r="W30" s="139"/>
    </row>
    <row r="31" spans="1:27" s="156" customFormat="1" ht="15" customHeight="1">
      <c r="A31" s="153"/>
      <c r="B31" s="136" t="s">
        <v>132</v>
      </c>
      <c r="C31" s="136"/>
      <c r="D31" s="136"/>
      <c r="E31" s="136"/>
      <c r="F31" s="136"/>
      <c r="G31" s="136"/>
      <c r="H31" s="153"/>
      <c r="I31" s="159"/>
      <c r="J31" s="137"/>
      <c r="K31" s="137"/>
      <c r="L31" s="137"/>
      <c r="M31" s="153"/>
      <c r="N31" s="153"/>
      <c r="O31" s="153"/>
      <c r="P31" s="153"/>
      <c r="Q31" s="160" t="s">
        <v>157</v>
      </c>
      <c r="R31" s="158" t="s">
        <v>1</v>
      </c>
      <c r="S31" s="161" t="e">
        <f>MID(I28,2,2)*1*VLOOKUP(I26,'Cihly HELUZ'!D6:J65,7,FALSE)</f>
        <v>#VALUE!</v>
      </c>
      <c r="T31" s="137" t="s">
        <v>129</v>
      </c>
      <c r="U31" s="153"/>
      <c r="W31" s="144" t="s">
        <v>310</v>
      </c>
      <c r="X31" s="243"/>
      <c r="Y31" s="243"/>
      <c r="Z31" s="243"/>
      <c r="AA31" s="243"/>
    </row>
    <row r="32" spans="1:23" ht="15" customHeight="1">
      <c r="A32" s="136"/>
      <c r="B32" s="136" t="s">
        <v>77</v>
      </c>
      <c r="C32" s="136"/>
      <c r="D32" s="136"/>
      <c r="E32" s="136"/>
      <c r="F32" s="136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57" t="s">
        <v>131</v>
      </c>
      <c r="R32" s="158" t="s">
        <v>1</v>
      </c>
      <c r="S32" s="157" t="e">
        <f>VLOOKUP(I26,'Cihly HELUZ'!D6:K65,8,FALSE)</f>
        <v>#N/A</v>
      </c>
      <c r="T32" s="137"/>
      <c r="U32" s="136"/>
      <c r="W32" s="139" t="e">
        <f>HLOOKUP(VLOOKUP($I$26,'Cihly HELUZ'!$D$6:$I$65,6,FALSE),'Cihly HELUZ'!$N$24:$X$27,2,FALSE)</f>
        <v>#N/A</v>
      </c>
    </row>
    <row r="33" spans="1:27" s="156" customFormat="1" ht="6" customHeight="1">
      <c r="A33" s="153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3"/>
      <c r="N33" s="162"/>
      <c r="O33" s="162"/>
      <c r="P33" s="162"/>
      <c r="Q33" s="162"/>
      <c r="R33" s="162"/>
      <c r="S33" s="162"/>
      <c r="T33" s="162"/>
      <c r="U33" s="153"/>
      <c r="W33" s="139" t="e">
        <f>HLOOKUP(VLOOKUP($I$26,'Cihly HELUZ'!$D$6:$I$65,6,FALSE),'Cihly HELUZ'!$N$24:$X$27,3,FALSE)</f>
        <v>#N/A</v>
      </c>
      <c r="X33" s="243"/>
      <c r="Y33" s="243"/>
      <c r="Z33" s="243"/>
      <c r="AA33" s="243"/>
    </row>
    <row r="34" spans="1:23" ht="3" customHeight="1">
      <c r="A34" s="136"/>
      <c r="B34" s="136"/>
      <c r="C34" s="136"/>
      <c r="D34" s="136"/>
      <c r="E34" s="136"/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6"/>
      <c r="W34" s="139" t="e">
        <f>HLOOKUP(VLOOKUP($I$26,'Cihly HELUZ'!$D$6:$I$65,6,FALSE),'Cihly HELUZ'!$N$24:$X$27,4,FALSE)</f>
        <v>#N/A</v>
      </c>
    </row>
    <row r="35" spans="1:23" ht="15" customHeight="1">
      <c r="A35" s="136"/>
      <c r="B35" s="145" t="s">
        <v>79</v>
      </c>
      <c r="C35" s="136"/>
      <c r="D35" s="136"/>
      <c r="E35" s="136"/>
      <c r="F35" s="136"/>
      <c r="G35" s="136"/>
      <c r="H35" s="158"/>
      <c r="I35" s="158"/>
      <c r="J35" s="158"/>
      <c r="K35" s="158"/>
      <c r="L35" s="137"/>
      <c r="M35" s="137"/>
      <c r="N35" s="137"/>
      <c r="O35" s="137"/>
      <c r="P35" s="137"/>
      <c r="Q35" s="137"/>
      <c r="R35" s="137"/>
      <c r="S35" s="137"/>
      <c r="T35" s="137"/>
      <c r="U35" s="136"/>
      <c r="W35" s="164"/>
    </row>
    <row r="36" spans="1:27" s="156" customFormat="1" ht="3" customHeight="1">
      <c r="A36" s="153"/>
      <c r="B36" s="153"/>
      <c r="C36" s="153"/>
      <c r="D36" s="153"/>
      <c r="E36" s="153"/>
      <c r="F36" s="153"/>
      <c r="G36" s="153"/>
      <c r="H36" s="153"/>
      <c r="I36" s="154"/>
      <c r="J36" s="154"/>
      <c r="K36" s="154"/>
      <c r="L36" s="154"/>
      <c r="M36" s="155"/>
      <c r="N36" s="153"/>
      <c r="O36" s="153"/>
      <c r="P36" s="153"/>
      <c r="Q36" s="153"/>
      <c r="R36" s="153"/>
      <c r="S36" s="153"/>
      <c r="T36" s="153"/>
      <c r="U36" s="153"/>
      <c r="W36" s="144"/>
      <c r="X36" s="243"/>
      <c r="Y36" s="243"/>
      <c r="Z36" s="243"/>
      <c r="AA36" s="243"/>
    </row>
    <row r="37" spans="1:23" ht="15" customHeight="1">
      <c r="A37" s="136"/>
      <c r="B37" s="136" t="s">
        <v>175</v>
      </c>
      <c r="C37" s="136"/>
      <c r="D37" s="136"/>
      <c r="E37" s="136"/>
      <c r="F37" s="136"/>
      <c r="G37" s="136"/>
      <c r="H37" s="137"/>
      <c r="I37" s="279" t="str">
        <f>IF(I24="Cihly HELUZ akustické zalévané","Zálivkový beton",IF(G38=TRUE,"Jiná návrhová malta (mimo sortiment HELUZ)",IF(I26=W21,"-- specifikujte použité cihly --",CONCATENATE("HELUZ malta pro ",IF(ISERROR(FIND("broušená",I26)),"obvodové zdivo (nebroušené)","broušené zdivo")))))</f>
        <v>-- specifikujte použité cihly --</v>
      </c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136"/>
      <c r="W37" s="139"/>
    </row>
    <row r="38" spans="1:27" s="156" customFormat="1" ht="19.5" customHeight="1">
      <c r="A38" s="153"/>
      <c r="B38" s="153"/>
      <c r="C38" s="153"/>
      <c r="D38" s="153"/>
      <c r="E38" s="153"/>
      <c r="F38" s="153"/>
      <c r="G38" s="232" t="b">
        <v>0</v>
      </c>
      <c r="H38" s="153"/>
      <c r="I38" s="155" t="s">
        <v>364</v>
      </c>
      <c r="J38" s="153"/>
      <c r="K38" s="154"/>
      <c r="L38" s="154"/>
      <c r="M38" s="155"/>
      <c r="N38" s="153"/>
      <c r="O38" s="153"/>
      <c r="P38" s="153"/>
      <c r="Q38" s="153"/>
      <c r="R38" s="153"/>
      <c r="S38" s="153"/>
      <c r="T38" s="153"/>
      <c r="U38" s="153"/>
      <c r="W38" s="139"/>
      <c r="X38" s="243"/>
      <c r="Y38" s="243"/>
      <c r="Z38" s="243"/>
      <c r="AA38" s="243"/>
    </row>
    <row r="39" spans="1:23" ht="15" customHeight="1">
      <c r="A39" s="136"/>
      <c r="B39" s="136" t="s">
        <v>79</v>
      </c>
      <c r="C39" s="136"/>
      <c r="D39" s="136"/>
      <c r="E39" s="136"/>
      <c r="F39" s="136"/>
      <c r="G39" s="136"/>
      <c r="H39" s="137"/>
      <c r="I39" s="268" t="s">
        <v>310</v>
      </c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70"/>
      <c r="U39" s="136"/>
      <c r="W39" s="139"/>
    </row>
    <row r="40" spans="1:27" s="156" customFormat="1" ht="3" customHeight="1">
      <c r="A40" s="153"/>
      <c r="B40" s="153"/>
      <c r="C40" s="153"/>
      <c r="D40" s="153"/>
      <c r="E40" s="153"/>
      <c r="F40" s="153"/>
      <c r="G40" s="153"/>
      <c r="H40" s="153"/>
      <c r="I40" s="154"/>
      <c r="J40" s="154"/>
      <c r="K40" s="154"/>
      <c r="L40" s="154"/>
      <c r="M40" s="155"/>
      <c r="N40" s="153"/>
      <c r="O40" s="153"/>
      <c r="P40" s="153"/>
      <c r="Q40" s="153"/>
      <c r="R40" s="153"/>
      <c r="S40" s="153"/>
      <c r="T40" s="153"/>
      <c r="U40" s="153"/>
      <c r="W40" s="139"/>
      <c r="X40" s="243"/>
      <c r="Y40" s="243"/>
      <c r="Z40" s="243"/>
      <c r="AA40" s="243"/>
    </row>
    <row r="41" spans="1:23" ht="15" customHeight="1">
      <c r="A41" s="136"/>
      <c r="B41" s="136" t="s">
        <v>134</v>
      </c>
      <c r="C41" s="136"/>
      <c r="D41" s="136"/>
      <c r="E41" s="136"/>
      <c r="F41" s="136"/>
      <c r="G41" s="136"/>
      <c r="H41" s="136"/>
      <c r="I41" s="137"/>
      <c r="J41" s="137"/>
      <c r="K41" s="137"/>
      <c r="L41" s="137"/>
      <c r="M41" s="137"/>
      <c r="N41" s="137"/>
      <c r="O41" s="137"/>
      <c r="P41" s="137"/>
      <c r="Q41" s="160" t="s">
        <v>105</v>
      </c>
      <c r="R41" s="158" t="s">
        <v>1</v>
      </c>
      <c r="S41" s="161" t="e">
        <f>IF(I24="Cihly HELUZ akustické zalévané",MID(I28,2,2)*1,IF(I39="Malta pro tenké spáry (0,5 - 3 mm)","–",IF(I37="Jiná návrhová malta (mimo sortiment HELUZ)",S42,VLOOKUP(I39,'Malty HELUZ'!C5:E10,3,FALSE))))</f>
        <v>#N/A</v>
      </c>
      <c r="T41" s="137" t="s">
        <v>129</v>
      </c>
      <c r="U41" s="136"/>
      <c r="W41" s="144" t="s">
        <v>310</v>
      </c>
    </row>
    <row r="42" spans="1:23" ht="15" customHeight="1">
      <c r="A42" s="136"/>
      <c r="B42" s="136" t="s">
        <v>312</v>
      </c>
      <c r="C42" s="136"/>
      <c r="D42" s="136"/>
      <c r="E42" s="136"/>
      <c r="F42" s="136"/>
      <c r="G42" s="136"/>
      <c r="H42" s="136"/>
      <c r="I42" s="136"/>
      <c r="J42" s="136"/>
      <c r="K42" s="137"/>
      <c r="L42" s="137"/>
      <c r="M42" s="137"/>
      <c r="N42" s="137"/>
      <c r="O42" s="137"/>
      <c r="P42" s="137"/>
      <c r="Q42" s="137"/>
      <c r="R42" s="137"/>
      <c r="S42" s="217"/>
      <c r="T42" s="137" t="s">
        <v>129</v>
      </c>
      <c r="U42" s="136"/>
      <c r="W42" s="139" t="e">
        <f>IF(ISERROR(HLOOKUP($I$37,'&gt;&gt;&gt; Výpočet &lt;&lt;&lt;'!$X$5:$AA$9,2,FALSE)),"#N/A",HLOOKUP($I$37,'&gt;&gt;&gt; Výpočet &lt;&lt;&lt;'!$X$5:$AA$9,2,FALSE))</f>
        <v>#N/A</v>
      </c>
    </row>
    <row r="43" spans="1:27" s="156" customFormat="1" ht="6" customHeight="1">
      <c r="A43" s="153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3"/>
      <c r="N43" s="162"/>
      <c r="O43" s="162"/>
      <c r="P43" s="162"/>
      <c r="Q43" s="162"/>
      <c r="R43" s="162"/>
      <c r="S43" s="162"/>
      <c r="T43" s="162"/>
      <c r="U43" s="153"/>
      <c r="W43" s="139" t="e">
        <f>IF(ISERROR(HLOOKUP($I$37,'&gt;&gt;&gt; Výpočet &lt;&lt;&lt;'!$X$5:$AA$9,3,FALSE)),"#N/A",HLOOKUP($I$37,'&gt;&gt;&gt; Výpočet &lt;&lt;&lt;'!$X$5:$AA$9,3,FALSE))</f>
        <v>#N/A</v>
      </c>
      <c r="X43" s="243"/>
      <c r="Y43" s="243"/>
      <c r="Z43" s="243"/>
      <c r="AA43" s="243"/>
    </row>
    <row r="44" spans="1:23" ht="3" customHeight="1">
      <c r="A44" s="136"/>
      <c r="B44" s="136"/>
      <c r="C44" s="136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6"/>
      <c r="W44" s="139" t="e">
        <f>IF(ISERROR(HLOOKUP($I$37,'&gt;&gt;&gt; Výpočet &lt;&lt;&lt;'!$X$5:$AA$9,4,FALSE)),"#N/A",HLOOKUP($I$37,'&gt;&gt;&gt; Výpočet &lt;&lt;&lt;'!$X$5:$AA$9,4,FALSE))</f>
        <v>#N/A</v>
      </c>
    </row>
    <row r="45" spans="1:23" ht="15" customHeight="1">
      <c r="A45" s="136"/>
      <c r="B45" s="145" t="s">
        <v>138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M45" s="137"/>
      <c r="N45" s="137"/>
      <c r="O45" s="137"/>
      <c r="P45" s="137"/>
      <c r="Q45" s="137"/>
      <c r="R45" s="137"/>
      <c r="S45" s="137"/>
      <c r="T45" s="137"/>
      <c r="U45" s="136"/>
      <c r="W45" s="139"/>
    </row>
    <row r="46" spans="1:23" ht="3" customHeight="1">
      <c r="A46" s="136"/>
      <c r="B46" s="145"/>
      <c r="C46" s="136"/>
      <c r="D46" s="136"/>
      <c r="E46" s="136"/>
      <c r="F46" s="136"/>
      <c r="G46" s="136"/>
      <c r="H46" s="136"/>
      <c r="I46" s="136"/>
      <c r="J46" s="136"/>
      <c r="K46" s="136"/>
      <c r="L46" s="137"/>
      <c r="M46" s="137"/>
      <c r="N46" s="137"/>
      <c r="O46" s="137"/>
      <c r="P46" s="137"/>
      <c r="Q46" s="137"/>
      <c r="R46" s="137"/>
      <c r="S46" s="137"/>
      <c r="T46" s="137"/>
      <c r="U46" s="136"/>
      <c r="W46" s="139"/>
    </row>
    <row r="47" spans="1:23" ht="15" customHeight="1">
      <c r="A47" s="136"/>
      <c r="B47" s="165" t="s">
        <v>315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214">
        <v>1</v>
      </c>
      <c r="S47" s="218"/>
      <c r="T47" s="137"/>
      <c r="U47" s="136"/>
      <c r="W47" s="139"/>
    </row>
    <row r="48" spans="1:23" ht="15" customHeight="1">
      <c r="A48" s="136"/>
      <c r="B48" s="136"/>
      <c r="C48" s="166" t="s">
        <v>342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7"/>
      <c r="N48" s="137"/>
      <c r="O48" s="136"/>
      <c r="P48" s="136"/>
      <c r="Q48" s="167" t="s">
        <v>107</v>
      </c>
      <c r="R48" s="158" t="s">
        <v>1</v>
      </c>
      <c r="S48" s="161" t="e">
        <f>VLOOKUP(I26,'Cihly HELUZ'!D6:H65,5,FALSE)</f>
        <v>#N/A</v>
      </c>
      <c r="T48" s="168" t="s">
        <v>316</v>
      </c>
      <c r="U48" s="136"/>
      <c r="W48" s="139"/>
    </row>
    <row r="49" spans="1:23" ht="15" customHeight="1">
      <c r="A49" s="136"/>
      <c r="B49" s="136"/>
      <c r="C49" s="136" t="str">
        <f>CONCATENATE("Uvažovat vlastní zadanou hodnotu ",IF(I24="Cihly HELUZ akustické zalévané","(záleží na použitém betonu)",""))</f>
        <v>Uvažovat vlastní zadanou hodnotu 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7"/>
      <c r="O49" s="136"/>
      <c r="P49" s="137"/>
      <c r="Q49" s="167" t="s">
        <v>107</v>
      </c>
      <c r="R49" s="158" t="s">
        <v>1</v>
      </c>
      <c r="S49" s="216"/>
      <c r="T49" s="168" t="s">
        <v>316</v>
      </c>
      <c r="U49" s="136"/>
      <c r="W49" s="139"/>
    </row>
    <row r="50" spans="1:23" ht="6" customHeight="1">
      <c r="A50" s="136"/>
      <c r="B50" s="145"/>
      <c r="C50" s="136"/>
      <c r="D50" s="136"/>
      <c r="E50" s="136"/>
      <c r="F50" s="136"/>
      <c r="G50" s="136"/>
      <c r="H50" s="136"/>
      <c r="I50" s="136"/>
      <c r="J50" s="136"/>
      <c r="K50" s="136"/>
      <c r="L50" s="137"/>
      <c r="M50" s="137"/>
      <c r="N50" s="137"/>
      <c r="O50" s="137"/>
      <c r="P50" s="137"/>
      <c r="Q50" s="137"/>
      <c r="R50" s="137"/>
      <c r="S50" s="169"/>
      <c r="T50" s="137"/>
      <c r="U50" s="136"/>
      <c r="W50" s="139"/>
    </row>
    <row r="51" spans="1:23" ht="15" customHeight="1">
      <c r="A51" s="136"/>
      <c r="B51" s="165" t="s">
        <v>141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7"/>
      <c r="M51" s="137"/>
      <c r="N51" s="137"/>
      <c r="O51" s="137"/>
      <c r="P51" s="137"/>
      <c r="Q51" s="137"/>
      <c r="R51" s="137"/>
      <c r="S51" s="169"/>
      <c r="T51" s="137"/>
      <c r="U51" s="136"/>
      <c r="W51" s="170"/>
    </row>
    <row r="52" spans="1:23" ht="15" customHeight="1">
      <c r="A52" s="136"/>
      <c r="B52" s="136" t="str">
        <f>CONCATENATE("Součinitel K podle skupiny zdících prvků a použité malty (ve zdivu ",IF(Q53=TRUE,"je","není")," podélná styčná spára)")</f>
        <v>Součinitel K podle skupiny zdících prvků a použité malty (ve zdivu není podélná styčná spára)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7"/>
      <c r="N52" s="137"/>
      <c r="O52" s="136"/>
      <c r="P52" s="136"/>
      <c r="Q52" s="157" t="s">
        <v>4</v>
      </c>
      <c r="R52" s="158" t="s">
        <v>1</v>
      </c>
      <c r="S52" s="203" t="e">
        <f>IF(Q53=TRUE,0.8,1)*(IF(I24="Cihly HELUZ akustické zalévané","0,55",IF(I37="Jiná návrhová malta (mimo sortiment HELUZ)",HLOOKUP(I39,Součinitele!C6:F9,S32+1,FALSE),VLOOKUP(I39,'Malty HELUZ'!C5:G10,S32+2,FALSE))))</f>
        <v>#N/A</v>
      </c>
      <c r="T52" s="137"/>
      <c r="U52" s="136"/>
      <c r="W52" s="170"/>
    </row>
    <row r="53" spans="1:23" ht="15" customHeight="1">
      <c r="A53" s="136"/>
      <c r="B53" s="136"/>
      <c r="C53" s="136" t="s">
        <v>366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7"/>
      <c r="O53" s="136"/>
      <c r="P53" s="136"/>
      <c r="Q53" s="213" t="b">
        <v>0</v>
      </c>
      <c r="R53" s="158"/>
      <c r="S53" s="203"/>
      <c r="T53" s="137"/>
      <c r="U53" s="136"/>
      <c r="W53" s="170"/>
    </row>
    <row r="54" spans="1:23" ht="15" customHeight="1">
      <c r="A54" s="136"/>
      <c r="B54" s="136" t="s">
        <v>137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7"/>
      <c r="N54" s="137"/>
      <c r="O54" s="136"/>
      <c r="P54" s="136"/>
      <c r="Q54" s="167" t="s">
        <v>104</v>
      </c>
      <c r="R54" s="158" t="s">
        <v>1</v>
      </c>
      <c r="S54" s="161">
        <v>2</v>
      </c>
      <c r="T54" s="137"/>
      <c r="U54" s="136"/>
      <c r="W54" s="170"/>
    </row>
    <row r="55" spans="1:23" ht="15" customHeight="1">
      <c r="A55" s="136"/>
      <c r="B55" s="136" t="s">
        <v>341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7"/>
      <c r="O55" s="136"/>
      <c r="P55" s="136"/>
      <c r="Q55" s="160" t="s">
        <v>360</v>
      </c>
      <c r="R55" s="158" t="s">
        <v>1</v>
      </c>
      <c r="S55" s="161" t="e">
        <f>IF(I39="HELUZ pěna","–",IF(OR(I37="HELUZ malta pro broušené zdivo",I39="Malta pro tenké spáry (0,5 - 3 mm)"),S52*POWER(S31,0.7),S52*POWER(S31,0.7)*POWER(S41,0.3)))</f>
        <v>#N/A</v>
      </c>
      <c r="T55" s="137" t="s">
        <v>129</v>
      </c>
      <c r="U55" s="136"/>
      <c r="W55" s="170"/>
    </row>
    <row r="56" spans="1:23" ht="15" customHeight="1">
      <c r="A56" s="136"/>
      <c r="B56" s="136" t="s">
        <v>362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7"/>
      <c r="N56" s="137"/>
      <c r="O56" s="136"/>
      <c r="P56" s="136"/>
      <c r="Q56" s="160" t="s">
        <v>361</v>
      </c>
      <c r="R56" s="171" t="s">
        <v>1</v>
      </c>
      <c r="S56" s="161" t="e">
        <f>IF(I24="Cihly HELUZ akustické zalévané","–",VLOOKUP(IF(VLOOKUP(I26,'Cihly HELUZ'!D6:L65,9,FALSE)="X","X",CONCATENATE(VLOOKUP(I26,'Cihly HELUZ'!D6:L65,9,FALSE),I28)),'Zdivo HELUZ'!D4:L41,VLOOKUP(I39,'&gt;&gt;&gt; Výpočet &lt;&lt;&lt;'!X12:Y21,2,FALSE),FALSE))</f>
        <v>#N/A</v>
      </c>
      <c r="T56" s="137" t="s">
        <v>129</v>
      </c>
      <c r="U56" s="136"/>
      <c r="W56" s="170"/>
    </row>
    <row r="57" spans="1:23" ht="15" customHeight="1">
      <c r="A57" s="136"/>
      <c r="B57" s="166" t="s">
        <v>357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7"/>
      <c r="O57" s="136"/>
      <c r="P57" s="136"/>
      <c r="Q57" s="160" t="s">
        <v>359</v>
      </c>
      <c r="R57" s="173" t="s">
        <v>1</v>
      </c>
      <c r="S57" s="215" t="e">
        <f>IF(ISNUMBER(S56),S56,S55)/S54</f>
        <v>#N/A</v>
      </c>
      <c r="T57" s="174" t="s">
        <v>129</v>
      </c>
      <c r="U57" s="136"/>
      <c r="W57" s="139"/>
    </row>
    <row r="58" spans="1:23" ht="6" customHeight="1">
      <c r="A58" s="136"/>
      <c r="B58" s="145"/>
      <c r="C58" s="136"/>
      <c r="D58" s="136"/>
      <c r="E58" s="136"/>
      <c r="F58" s="136"/>
      <c r="G58" s="136"/>
      <c r="H58" s="136"/>
      <c r="I58" s="136"/>
      <c r="J58" s="136"/>
      <c r="K58" s="136"/>
      <c r="L58" s="137"/>
      <c r="M58" s="137"/>
      <c r="N58" s="137"/>
      <c r="O58" s="137"/>
      <c r="P58" s="137"/>
      <c r="Q58" s="137"/>
      <c r="R58" s="137"/>
      <c r="S58" s="137"/>
      <c r="T58" s="137"/>
      <c r="U58" s="136"/>
      <c r="W58" s="139"/>
    </row>
    <row r="59" spans="1:23" ht="12" customHeight="1">
      <c r="A59" s="136"/>
      <c r="B59" s="229" t="s">
        <v>344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7"/>
      <c r="M59" s="137"/>
      <c r="N59" s="137"/>
      <c r="O59" s="137"/>
      <c r="P59" s="137"/>
      <c r="Q59" s="137"/>
      <c r="R59" s="137"/>
      <c r="S59" s="137"/>
      <c r="T59" s="137"/>
      <c r="U59" s="136"/>
      <c r="W59" s="139"/>
    </row>
    <row r="60" spans="1:23" ht="12" customHeight="1">
      <c r="A60" s="136"/>
      <c r="B60" s="175" t="s">
        <v>343</v>
      </c>
      <c r="C60" s="176"/>
      <c r="D60" s="136"/>
      <c r="E60" s="136"/>
      <c r="F60" s="136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6"/>
      <c r="W60" s="139"/>
    </row>
    <row r="61" spans="1:23" ht="12" customHeight="1">
      <c r="A61" s="136"/>
      <c r="B61" s="177" t="s">
        <v>326</v>
      </c>
      <c r="C61" s="176"/>
      <c r="D61" s="136"/>
      <c r="E61" s="136"/>
      <c r="F61" s="136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6"/>
      <c r="W61" s="139"/>
    </row>
    <row r="62" spans="1:23" ht="12" customHeight="1">
      <c r="A62" s="136"/>
      <c r="B62" s="178" t="s">
        <v>358</v>
      </c>
      <c r="C62" s="176"/>
      <c r="D62" s="136"/>
      <c r="E62" s="136"/>
      <c r="F62" s="136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6"/>
      <c r="W62" s="139"/>
    </row>
    <row r="63" spans="1:27" s="156" customFormat="1" ht="6" customHeight="1">
      <c r="A63" s="153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3"/>
      <c r="N63" s="162"/>
      <c r="O63" s="162"/>
      <c r="P63" s="162"/>
      <c r="Q63" s="162"/>
      <c r="R63" s="162"/>
      <c r="S63" s="162"/>
      <c r="T63" s="162"/>
      <c r="U63" s="153"/>
      <c r="W63" s="139"/>
      <c r="X63" s="243"/>
      <c r="Y63" s="243"/>
      <c r="Z63" s="243"/>
      <c r="AA63" s="243"/>
    </row>
    <row r="64" spans="1:23" ht="3" customHeight="1">
      <c r="A64" s="136"/>
      <c r="B64" s="136"/>
      <c r="C64" s="136"/>
      <c r="D64" s="136"/>
      <c r="E64" s="136"/>
      <c r="F64" s="136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6"/>
      <c r="W64" s="139"/>
    </row>
    <row r="65" spans="1:23" ht="15" customHeight="1">
      <c r="A65" s="136"/>
      <c r="B65" s="145" t="s">
        <v>142</v>
      </c>
      <c r="C65" s="136"/>
      <c r="D65" s="136"/>
      <c r="E65" s="136"/>
      <c r="F65" s="136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6"/>
      <c r="W65" s="139"/>
    </row>
    <row r="66" spans="1:23" ht="3" customHeight="1">
      <c r="A66" s="136"/>
      <c r="B66" s="145"/>
      <c r="C66" s="136"/>
      <c r="D66" s="136"/>
      <c r="E66" s="136"/>
      <c r="F66" s="136"/>
      <c r="G66" s="136"/>
      <c r="H66" s="136"/>
      <c r="I66" s="136"/>
      <c r="J66" s="136"/>
      <c r="K66" s="136"/>
      <c r="L66" s="137"/>
      <c r="M66" s="137"/>
      <c r="N66" s="137"/>
      <c r="O66" s="137"/>
      <c r="P66" s="137"/>
      <c r="Q66" s="137"/>
      <c r="R66" s="137"/>
      <c r="S66" s="137"/>
      <c r="T66" s="137"/>
      <c r="U66" s="136"/>
      <c r="W66" s="139"/>
    </row>
    <row r="67" spans="1:23" ht="15" customHeight="1">
      <c r="A67" s="136"/>
      <c r="B67" s="136" t="s">
        <v>143</v>
      </c>
      <c r="C67" s="136"/>
      <c r="D67" s="136"/>
      <c r="E67" s="136"/>
      <c r="F67" s="136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60" t="s">
        <v>0</v>
      </c>
      <c r="R67" s="158" t="s">
        <v>1</v>
      </c>
      <c r="S67" s="179"/>
      <c r="T67" s="137" t="s">
        <v>144</v>
      </c>
      <c r="U67" s="136"/>
      <c r="W67" s="139"/>
    </row>
    <row r="68" spans="1:23" ht="3" customHeight="1">
      <c r="A68" s="136"/>
      <c r="B68" s="145"/>
      <c r="C68" s="136"/>
      <c r="D68" s="136"/>
      <c r="E68" s="136"/>
      <c r="F68" s="136"/>
      <c r="G68" s="136"/>
      <c r="H68" s="136"/>
      <c r="I68" s="137"/>
      <c r="J68" s="137"/>
      <c r="K68" s="137"/>
      <c r="L68" s="137"/>
      <c r="M68" s="137"/>
      <c r="N68" s="137"/>
      <c r="O68" s="137"/>
      <c r="P68" s="137"/>
      <c r="Q68" s="136"/>
      <c r="R68" s="136"/>
      <c r="S68" s="180"/>
      <c r="T68" s="137"/>
      <c r="U68" s="136"/>
      <c r="W68" s="139"/>
    </row>
    <row r="69" spans="1:23" ht="15" customHeight="1">
      <c r="A69" s="136"/>
      <c r="B69" s="136" t="s">
        <v>268</v>
      </c>
      <c r="C69" s="136"/>
      <c r="D69" s="136"/>
      <c r="E69" s="136"/>
      <c r="F69" s="136"/>
      <c r="G69" s="136"/>
      <c r="H69" s="136"/>
      <c r="I69" s="137"/>
      <c r="J69" s="137"/>
      <c r="K69" s="137"/>
      <c r="L69" s="137"/>
      <c r="M69" s="137"/>
      <c r="N69" s="137"/>
      <c r="O69" s="137"/>
      <c r="P69" s="137"/>
      <c r="Q69" s="157" t="s">
        <v>262</v>
      </c>
      <c r="R69" s="158" t="s">
        <v>1</v>
      </c>
      <c r="S69" s="179"/>
      <c r="T69" s="137" t="s">
        <v>144</v>
      </c>
      <c r="U69" s="136"/>
      <c r="W69" s="139"/>
    </row>
    <row r="70" spans="1:23" ht="3" customHeight="1">
      <c r="A70" s="136"/>
      <c r="B70" s="145"/>
      <c r="C70" s="136"/>
      <c r="D70" s="136"/>
      <c r="E70" s="136"/>
      <c r="F70" s="136"/>
      <c r="G70" s="136"/>
      <c r="H70" s="136"/>
      <c r="I70" s="137"/>
      <c r="J70" s="137"/>
      <c r="K70" s="137"/>
      <c r="L70" s="137"/>
      <c r="M70" s="137"/>
      <c r="N70" s="137"/>
      <c r="O70" s="137"/>
      <c r="P70" s="137"/>
      <c r="Q70" s="136"/>
      <c r="R70" s="136"/>
      <c r="S70" s="180"/>
      <c r="T70" s="137"/>
      <c r="U70" s="136"/>
      <c r="W70" s="139"/>
    </row>
    <row r="71" spans="1:23" ht="15" customHeight="1">
      <c r="A71" s="136"/>
      <c r="B71" s="274" t="s">
        <v>351</v>
      </c>
      <c r="C71" s="274"/>
      <c r="D71" s="274"/>
      <c r="E71" s="274"/>
      <c r="F71" s="274"/>
      <c r="G71" s="274"/>
      <c r="H71" s="274"/>
      <c r="I71" s="274"/>
      <c r="J71" s="219"/>
      <c r="K71" s="137"/>
      <c r="L71" s="181"/>
      <c r="M71" s="137"/>
      <c r="N71" s="137"/>
      <c r="O71" s="137"/>
      <c r="P71" s="137"/>
      <c r="Q71" s="160" t="s">
        <v>2</v>
      </c>
      <c r="R71" s="158" t="s">
        <v>1</v>
      </c>
      <c r="S71" s="179"/>
      <c r="T71" s="137" t="s">
        <v>144</v>
      </c>
      <c r="U71" s="136"/>
      <c r="W71" s="139"/>
    </row>
    <row r="72" spans="1:23" ht="15" customHeight="1">
      <c r="A72" s="136"/>
      <c r="B72" s="274"/>
      <c r="C72" s="274"/>
      <c r="D72" s="274"/>
      <c r="E72" s="274"/>
      <c r="F72" s="274"/>
      <c r="G72" s="274"/>
      <c r="H72" s="274"/>
      <c r="I72" s="274"/>
      <c r="J72" s="219"/>
      <c r="K72" s="137"/>
      <c r="L72" s="137"/>
      <c r="M72" s="137"/>
      <c r="N72" s="137"/>
      <c r="O72" s="137"/>
      <c r="P72" s="137"/>
      <c r="Q72" s="136"/>
      <c r="R72" s="136"/>
      <c r="S72" s="180"/>
      <c r="T72" s="137"/>
      <c r="U72" s="136"/>
      <c r="W72" s="139"/>
    </row>
    <row r="73" spans="1:23" ht="15" customHeight="1">
      <c r="A73" s="136"/>
      <c r="B73" s="275" t="s">
        <v>340</v>
      </c>
      <c r="C73" s="275"/>
      <c r="D73" s="275"/>
      <c r="E73" s="275"/>
      <c r="F73" s="275"/>
      <c r="G73" s="275"/>
      <c r="H73" s="275"/>
      <c r="I73" s="275"/>
      <c r="J73" s="220"/>
      <c r="K73" s="137"/>
      <c r="L73" s="137"/>
      <c r="M73" s="137"/>
      <c r="N73" s="137"/>
      <c r="O73" s="137"/>
      <c r="P73" s="137"/>
      <c r="Q73" s="160" t="s">
        <v>3</v>
      </c>
      <c r="R73" s="158" t="s">
        <v>1</v>
      </c>
      <c r="S73" s="230" t="e">
        <f>IF(R75=TRUE,S75,MID(S30,7,3)/1000)</f>
        <v>#N/A</v>
      </c>
      <c r="T73" s="137" t="s">
        <v>144</v>
      </c>
      <c r="U73" s="136"/>
      <c r="W73" s="139"/>
    </row>
    <row r="74" spans="1:27" s="156" customFormat="1" ht="15" customHeight="1">
      <c r="A74" s="153"/>
      <c r="B74" s="275"/>
      <c r="C74" s="275"/>
      <c r="D74" s="275"/>
      <c r="E74" s="275"/>
      <c r="F74" s="275"/>
      <c r="G74" s="275"/>
      <c r="H74" s="275"/>
      <c r="I74" s="275"/>
      <c r="J74" s="220"/>
      <c r="K74" s="153"/>
      <c r="L74" s="153"/>
      <c r="M74" s="155"/>
      <c r="N74" s="153"/>
      <c r="O74" s="153"/>
      <c r="P74" s="153"/>
      <c r="Q74" s="153"/>
      <c r="R74" s="153"/>
      <c r="S74" s="153"/>
      <c r="T74" s="153"/>
      <c r="U74" s="153"/>
      <c r="W74" s="139"/>
      <c r="X74" s="243"/>
      <c r="Y74" s="243"/>
      <c r="Z74" s="243"/>
      <c r="AA74" s="243"/>
    </row>
    <row r="75" spans="1:27" s="156" customFormat="1" ht="15" customHeight="1">
      <c r="A75" s="153"/>
      <c r="B75" s="220"/>
      <c r="C75" s="201" t="s">
        <v>352</v>
      </c>
      <c r="D75" s="201"/>
      <c r="E75" s="201"/>
      <c r="F75" s="201"/>
      <c r="G75" s="201"/>
      <c r="H75" s="201"/>
      <c r="I75" s="201"/>
      <c r="J75" s="220"/>
      <c r="K75" s="153"/>
      <c r="L75" s="153"/>
      <c r="M75" s="155"/>
      <c r="N75" s="153"/>
      <c r="O75" s="153"/>
      <c r="P75" s="153"/>
      <c r="Q75" s="153"/>
      <c r="R75" s="232" t="b">
        <v>0</v>
      </c>
      <c r="S75" s="233"/>
      <c r="T75" s="231" t="s">
        <v>144</v>
      </c>
      <c r="U75" s="153"/>
      <c r="W75" s="164"/>
      <c r="X75" s="243"/>
      <c r="Y75" s="243"/>
      <c r="Z75" s="243"/>
      <c r="AA75" s="243"/>
    </row>
    <row r="76" spans="1:27" s="156" customFormat="1" ht="6" customHeight="1">
      <c r="A76" s="153"/>
      <c r="B76" s="221"/>
      <c r="C76" s="152"/>
      <c r="D76" s="152"/>
      <c r="E76" s="152"/>
      <c r="F76" s="152"/>
      <c r="G76" s="152"/>
      <c r="H76" s="152"/>
      <c r="I76" s="152"/>
      <c r="J76" s="221"/>
      <c r="K76" s="162"/>
      <c r="L76" s="162"/>
      <c r="M76" s="163"/>
      <c r="N76" s="162"/>
      <c r="O76" s="162"/>
      <c r="P76" s="162"/>
      <c r="Q76" s="162"/>
      <c r="R76" s="162"/>
      <c r="S76" s="162"/>
      <c r="T76" s="162"/>
      <c r="U76" s="153"/>
      <c r="W76" s="164"/>
      <c r="X76" s="243"/>
      <c r="Y76" s="243"/>
      <c r="Z76" s="243"/>
      <c r="AA76" s="243"/>
    </row>
    <row r="77" spans="1:23" ht="3" customHeight="1">
      <c r="A77" s="136"/>
      <c r="B77" s="136"/>
      <c r="C77" s="136"/>
      <c r="D77" s="136"/>
      <c r="E77" s="136"/>
      <c r="F77" s="136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6"/>
      <c r="W77" s="139"/>
    </row>
    <row r="78" spans="1:23" ht="15" customHeight="1">
      <c r="A78" s="136"/>
      <c r="B78" s="145" t="s">
        <v>317</v>
      </c>
      <c r="C78" s="136"/>
      <c r="D78" s="136"/>
      <c r="E78" s="136"/>
      <c r="F78" s="136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6"/>
      <c r="R78" s="136"/>
      <c r="S78" s="136"/>
      <c r="T78" s="136"/>
      <c r="U78" s="136"/>
      <c r="W78" s="139"/>
    </row>
    <row r="79" spans="1:23" ht="3" customHeight="1">
      <c r="A79" s="136"/>
      <c r="B79" s="145"/>
      <c r="C79" s="136"/>
      <c r="D79" s="136"/>
      <c r="E79" s="136"/>
      <c r="F79" s="136"/>
      <c r="G79" s="136"/>
      <c r="H79" s="136"/>
      <c r="I79" s="137"/>
      <c r="J79" s="137"/>
      <c r="K79" s="137"/>
      <c r="L79" s="137"/>
      <c r="M79" s="137"/>
      <c r="N79" s="137"/>
      <c r="O79" s="137"/>
      <c r="P79" s="137"/>
      <c r="Q79" s="136"/>
      <c r="R79" s="136"/>
      <c r="S79" s="136"/>
      <c r="T79" s="137"/>
      <c r="U79" s="136"/>
      <c r="W79" s="139"/>
    </row>
    <row r="80" spans="1:23" ht="15" customHeight="1">
      <c r="A80" s="136"/>
      <c r="B80" s="183" t="s">
        <v>158</v>
      </c>
      <c r="C80" s="136"/>
      <c r="D80" s="136"/>
      <c r="E80" s="136"/>
      <c r="F80" s="13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6"/>
      <c r="R80" s="136"/>
      <c r="S80" s="136"/>
      <c r="T80" s="136"/>
      <c r="U80" s="136"/>
      <c r="W80" s="139"/>
    </row>
    <row r="81" spans="1:23" ht="15" customHeight="1">
      <c r="A81" s="136"/>
      <c r="B81" s="136" t="s">
        <v>161</v>
      </c>
      <c r="C81" s="136"/>
      <c r="D81" s="136"/>
      <c r="E81" s="136"/>
      <c r="F81" s="13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84" t="s">
        <v>234</v>
      </c>
      <c r="R81" s="136" t="s">
        <v>1</v>
      </c>
      <c r="S81" s="185"/>
      <c r="T81" s="151" t="s">
        <v>163</v>
      </c>
      <c r="U81" s="136"/>
      <c r="W81" s="139"/>
    </row>
    <row r="82" spans="1:23" ht="3" customHeight="1">
      <c r="A82" s="136"/>
      <c r="B82" s="145"/>
      <c r="C82" s="136"/>
      <c r="D82" s="136"/>
      <c r="E82" s="136"/>
      <c r="F82" s="136"/>
      <c r="G82" s="136"/>
      <c r="H82" s="136"/>
      <c r="I82" s="137"/>
      <c r="J82" s="137"/>
      <c r="K82" s="137"/>
      <c r="L82" s="137"/>
      <c r="M82" s="137"/>
      <c r="N82" s="137"/>
      <c r="O82" s="137"/>
      <c r="P82" s="137"/>
      <c r="Q82" s="136"/>
      <c r="R82" s="136"/>
      <c r="S82" s="186"/>
      <c r="T82" s="137"/>
      <c r="U82" s="136"/>
      <c r="W82" s="139"/>
    </row>
    <row r="83" spans="1:23" ht="15" customHeight="1">
      <c r="A83" s="136"/>
      <c r="B83" s="136" t="s">
        <v>324</v>
      </c>
      <c r="C83" s="136"/>
      <c r="D83" s="136"/>
      <c r="E83" s="136"/>
      <c r="F83" s="136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84" t="s">
        <v>235</v>
      </c>
      <c r="R83" s="136" t="s">
        <v>1</v>
      </c>
      <c r="S83" s="185"/>
      <c r="T83" s="151" t="s">
        <v>164</v>
      </c>
      <c r="U83" s="136"/>
      <c r="W83" s="139"/>
    </row>
    <row r="84" spans="1:23" ht="3" customHeight="1">
      <c r="A84" s="136"/>
      <c r="B84" s="145"/>
      <c r="C84" s="136"/>
      <c r="D84" s="136"/>
      <c r="E84" s="136"/>
      <c r="F84" s="136"/>
      <c r="G84" s="136"/>
      <c r="H84" s="136"/>
      <c r="I84" s="137"/>
      <c r="J84" s="137"/>
      <c r="K84" s="137"/>
      <c r="L84" s="137"/>
      <c r="M84" s="137"/>
      <c r="N84" s="137"/>
      <c r="O84" s="137"/>
      <c r="P84" s="137"/>
      <c r="Q84" s="136"/>
      <c r="R84" s="136"/>
      <c r="S84" s="186"/>
      <c r="T84" s="137"/>
      <c r="U84" s="136"/>
      <c r="W84" s="139"/>
    </row>
    <row r="85" spans="1:23" ht="15" customHeight="1">
      <c r="A85" s="136"/>
      <c r="B85" s="183" t="s">
        <v>159</v>
      </c>
      <c r="C85" s="136"/>
      <c r="D85" s="136"/>
      <c r="E85" s="136"/>
      <c r="F85" s="136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60"/>
      <c r="R85" s="136"/>
      <c r="S85" s="187"/>
      <c r="T85" s="188"/>
      <c r="U85" s="136"/>
      <c r="W85" s="139"/>
    </row>
    <row r="86" spans="1:23" ht="15" customHeight="1">
      <c r="A86" s="136"/>
      <c r="B86" s="136" t="s">
        <v>162</v>
      </c>
      <c r="C86" s="136"/>
      <c r="D86" s="136"/>
      <c r="E86" s="136"/>
      <c r="F86" s="136"/>
      <c r="G86" s="137"/>
      <c r="H86" s="137"/>
      <c r="I86" s="137"/>
      <c r="J86" s="137"/>
      <c r="K86" s="137"/>
      <c r="L86" s="181"/>
      <c r="M86" s="137"/>
      <c r="N86" s="137"/>
      <c r="O86" s="137"/>
      <c r="P86" s="137"/>
      <c r="Q86" s="184" t="s">
        <v>238</v>
      </c>
      <c r="R86" s="136" t="s">
        <v>1</v>
      </c>
      <c r="S86" s="189" t="e">
        <f>S81+IF(R47=1,S48,S49)*S67*S71/200</f>
        <v>#N/A</v>
      </c>
      <c r="T86" s="151" t="s">
        <v>163</v>
      </c>
      <c r="U86" s="136"/>
      <c r="W86" s="139"/>
    </row>
    <row r="87" spans="1:23" ht="15" customHeight="1">
      <c r="A87" s="136"/>
      <c r="B87" s="136" t="s">
        <v>324</v>
      </c>
      <c r="C87" s="136"/>
      <c r="D87" s="136"/>
      <c r="E87" s="136"/>
      <c r="F87" s="136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84" t="s">
        <v>239</v>
      </c>
      <c r="R87" s="136" t="s">
        <v>1</v>
      </c>
      <c r="S87" s="185"/>
      <c r="T87" s="151" t="s">
        <v>164</v>
      </c>
      <c r="U87" s="136"/>
      <c r="W87" s="139"/>
    </row>
    <row r="88" spans="1:23" ht="3" customHeight="1">
      <c r="A88" s="136"/>
      <c r="B88" s="145"/>
      <c r="C88" s="136"/>
      <c r="D88" s="136"/>
      <c r="E88" s="136"/>
      <c r="F88" s="136"/>
      <c r="G88" s="136"/>
      <c r="H88" s="136"/>
      <c r="I88" s="137"/>
      <c r="J88" s="137"/>
      <c r="K88" s="137"/>
      <c r="L88" s="137"/>
      <c r="M88" s="137"/>
      <c r="N88" s="137"/>
      <c r="O88" s="137"/>
      <c r="P88" s="137"/>
      <c r="Q88" s="136"/>
      <c r="R88" s="136"/>
      <c r="S88" s="186"/>
      <c r="T88" s="137"/>
      <c r="U88" s="136"/>
      <c r="W88" s="139"/>
    </row>
    <row r="89" spans="1:23" ht="15" customHeight="1">
      <c r="A89" s="136"/>
      <c r="B89" s="183" t="s">
        <v>160</v>
      </c>
      <c r="C89" s="136"/>
      <c r="D89" s="136"/>
      <c r="E89" s="136"/>
      <c r="F89" s="136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6"/>
      <c r="R89" s="136"/>
      <c r="S89" s="187"/>
      <c r="T89" s="137"/>
      <c r="U89" s="136"/>
      <c r="W89" s="139"/>
    </row>
    <row r="90" spans="1:23" ht="15" customHeight="1">
      <c r="A90" s="136"/>
      <c r="B90" s="136" t="s">
        <v>162</v>
      </c>
      <c r="C90" s="136"/>
      <c r="D90" s="136"/>
      <c r="E90" s="136"/>
      <c r="F90" s="136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84" t="s">
        <v>236</v>
      </c>
      <c r="R90" s="136" t="s">
        <v>1</v>
      </c>
      <c r="S90" s="189" t="e">
        <f>S81+IF(R47=1,S48,S49)*S67*S71/100</f>
        <v>#N/A</v>
      </c>
      <c r="T90" s="151" t="s">
        <v>163</v>
      </c>
      <c r="U90" s="136"/>
      <c r="W90" s="139"/>
    </row>
    <row r="91" spans="1:23" ht="15" customHeight="1">
      <c r="A91" s="136"/>
      <c r="B91" s="136" t="s">
        <v>324</v>
      </c>
      <c r="C91" s="136"/>
      <c r="D91" s="136"/>
      <c r="E91" s="136"/>
      <c r="F91" s="136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84" t="s">
        <v>237</v>
      </c>
      <c r="R91" s="136" t="s">
        <v>1</v>
      </c>
      <c r="S91" s="185"/>
      <c r="T91" s="151" t="s">
        <v>164</v>
      </c>
      <c r="U91" s="136"/>
      <c r="W91" s="139"/>
    </row>
    <row r="92" spans="1:27" s="156" customFormat="1" ht="6" customHeight="1">
      <c r="A92" s="153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3"/>
      <c r="N92" s="162"/>
      <c r="O92" s="162"/>
      <c r="P92" s="162"/>
      <c r="Q92" s="162"/>
      <c r="R92" s="162"/>
      <c r="S92" s="162"/>
      <c r="T92" s="162"/>
      <c r="U92" s="153"/>
      <c r="W92" s="139"/>
      <c r="X92" s="243"/>
      <c r="Y92" s="243"/>
      <c r="Z92" s="243"/>
      <c r="AA92" s="243"/>
    </row>
    <row r="93" spans="1:23" ht="3" customHeight="1">
      <c r="A93" s="136"/>
      <c r="B93" s="136"/>
      <c r="C93" s="136"/>
      <c r="D93" s="136"/>
      <c r="E93" s="136"/>
      <c r="F93" s="136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6"/>
      <c r="W93" s="139"/>
    </row>
    <row r="94" spans="1:23" ht="15">
      <c r="A94" s="136"/>
      <c r="B94" s="145" t="s">
        <v>233</v>
      </c>
      <c r="C94" s="190"/>
      <c r="D94" s="190"/>
      <c r="E94" s="190"/>
      <c r="F94" s="190"/>
      <c r="G94" s="191"/>
      <c r="H94" s="191"/>
      <c r="I94" s="191"/>
      <c r="J94" s="191"/>
      <c r="K94" s="191"/>
      <c r="L94" s="191"/>
      <c r="M94" s="191"/>
      <c r="N94" s="191"/>
      <c r="O94" s="191"/>
      <c r="P94" s="137"/>
      <c r="Q94" s="137"/>
      <c r="R94" s="137"/>
      <c r="S94" s="137"/>
      <c r="T94" s="137"/>
      <c r="U94" s="136"/>
      <c r="W94" s="139"/>
    </row>
    <row r="95" spans="1:23" ht="3" customHeight="1">
      <c r="A95" s="136"/>
      <c r="B95" s="145"/>
      <c r="C95" s="190"/>
      <c r="D95" s="190"/>
      <c r="E95" s="190"/>
      <c r="F95" s="190"/>
      <c r="G95" s="191"/>
      <c r="H95" s="191"/>
      <c r="I95" s="191"/>
      <c r="J95" s="191"/>
      <c r="K95" s="191"/>
      <c r="L95" s="191"/>
      <c r="M95" s="191"/>
      <c r="N95" s="191"/>
      <c r="O95" s="191"/>
      <c r="P95" s="137"/>
      <c r="Q95" s="137"/>
      <c r="R95" s="137"/>
      <c r="S95" s="137"/>
      <c r="T95" s="137"/>
      <c r="U95" s="136"/>
      <c r="W95" s="139"/>
    </row>
    <row r="96" spans="1:23" ht="15" customHeight="1">
      <c r="A96" s="136"/>
      <c r="B96" s="183" t="s">
        <v>250</v>
      </c>
      <c r="C96" s="136"/>
      <c r="D96" s="136"/>
      <c r="E96" s="136"/>
      <c r="F96" s="180"/>
      <c r="G96" s="137"/>
      <c r="H96" s="137"/>
      <c r="I96" s="137"/>
      <c r="J96" s="137"/>
      <c r="K96" s="137"/>
      <c r="L96" s="137"/>
      <c r="M96" s="137"/>
      <c r="N96" s="137"/>
      <c r="O96" s="137"/>
      <c r="P96" s="191"/>
      <c r="Q96" s="137"/>
      <c r="R96" s="137"/>
      <c r="S96" s="137"/>
      <c r="T96" s="188"/>
      <c r="U96" s="136"/>
      <c r="W96" s="139"/>
    </row>
    <row r="97" spans="1:23" ht="15" customHeight="1">
      <c r="A97" s="136"/>
      <c r="B97" s="192" t="s">
        <v>313</v>
      </c>
      <c r="C97" s="136"/>
      <c r="D97" s="136"/>
      <c r="E97" s="136"/>
      <c r="F97" s="136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6"/>
      <c r="W97" s="139"/>
    </row>
    <row r="98" spans="1:23" ht="15" customHeight="1">
      <c r="A98" s="136"/>
      <c r="B98" s="136"/>
      <c r="C98" s="136" t="s">
        <v>259</v>
      </c>
      <c r="D98" s="136"/>
      <c r="E98" s="136"/>
      <c r="F98" s="136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213">
        <v>1</v>
      </c>
      <c r="T98" s="137"/>
      <c r="U98" s="136"/>
      <c r="W98" s="139"/>
    </row>
    <row r="99" spans="1:23" ht="15" customHeight="1">
      <c r="A99" s="136"/>
      <c r="B99" s="136"/>
      <c r="C99" s="136" t="s">
        <v>255</v>
      </c>
      <c r="D99" s="136"/>
      <c r="E99" s="136"/>
      <c r="F99" s="136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6"/>
      <c r="W99" s="139"/>
    </row>
    <row r="100" spans="1:23" ht="6" customHeight="1">
      <c r="A100" s="136"/>
      <c r="B100" s="136"/>
      <c r="C100" s="136"/>
      <c r="D100" s="136"/>
      <c r="E100" s="136"/>
      <c r="F100" s="136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6"/>
      <c r="W100" s="139"/>
    </row>
    <row r="101" spans="1:23" ht="15" customHeight="1">
      <c r="A101" s="136"/>
      <c r="B101" s="136"/>
      <c r="C101" s="136" t="s">
        <v>256</v>
      </c>
      <c r="D101" s="136"/>
      <c r="E101" s="136"/>
      <c r="F101" s="136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213">
        <v>1</v>
      </c>
      <c r="T101" s="137"/>
      <c r="U101" s="136"/>
      <c r="W101" s="139"/>
    </row>
    <row r="102" spans="1:23" ht="15" customHeight="1">
      <c r="A102" s="136"/>
      <c r="B102" s="136"/>
      <c r="C102" s="193" t="s">
        <v>257</v>
      </c>
      <c r="D102" s="136"/>
      <c r="E102" s="136"/>
      <c r="F102" s="136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6"/>
      <c r="W102" s="139"/>
    </row>
    <row r="103" spans="1:23" ht="15" customHeight="1">
      <c r="A103" s="136"/>
      <c r="B103" s="136"/>
      <c r="C103" s="193" t="s">
        <v>258</v>
      </c>
      <c r="D103" s="136"/>
      <c r="E103" s="136"/>
      <c r="F103" s="136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6"/>
      <c r="W103" s="139"/>
    </row>
    <row r="104" spans="1:23" ht="3" customHeight="1">
      <c r="A104" s="136"/>
      <c r="B104" s="136"/>
      <c r="C104" s="136"/>
      <c r="D104" s="136"/>
      <c r="E104" s="136"/>
      <c r="F104" s="136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6"/>
      <c r="W104" s="139"/>
    </row>
    <row r="105" spans="1:23" ht="15" customHeight="1">
      <c r="A105" s="136"/>
      <c r="B105" s="192" t="s">
        <v>246</v>
      </c>
      <c r="C105" s="136"/>
      <c r="D105" s="136"/>
      <c r="E105" s="136"/>
      <c r="F105" s="136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213">
        <v>1</v>
      </c>
      <c r="T105" s="137"/>
      <c r="U105" s="136"/>
      <c r="W105" s="139"/>
    </row>
    <row r="106" spans="1:23" ht="15" customHeight="1">
      <c r="A106" s="136"/>
      <c r="B106" s="136"/>
      <c r="C106" s="136" t="s">
        <v>247</v>
      </c>
      <c r="D106" s="136"/>
      <c r="E106" s="136"/>
      <c r="F106" s="136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6"/>
      <c r="W106" s="139"/>
    </row>
    <row r="107" spans="1:23" ht="15" customHeight="1">
      <c r="A107" s="136"/>
      <c r="B107" s="136"/>
      <c r="C107" s="136" t="s">
        <v>248</v>
      </c>
      <c r="D107" s="136"/>
      <c r="E107" s="136"/>
      <c r="F107" s="136"/>
      <c r="G107" s="137"/>
      <c r="H107" s="137"/>
      <c r="I107" s="137"/>
      <c r="J107" s="137"/>
      <c r="K107" s="137"/>
      <c r="L107" s="137"/>
      <c r="M107" s="267" t="e">
        <f>IF(AND(S105=2,S69&gt;=15*S73),"!!! U posuzované stěny je L ≥ 15t, takže by se mělo uvažovat pouze podepření v hlavě a patě !!!",IF(AND(S105=3,S69&gt;=30*S73),"!!! U posuzované stěny je L ≥ 30t, takže by se mělo uvažovat pouze podepření v hlavě a patě !!!",""))</f>
        <v>#N/A</v>
      </c>
      <c r="N107" s="267"/>
      <c r="O107" s="267"/>
      <c r="P107" s="267"/>
      <c r="Q107" s="267"/>
      <c r="R107" s="267"/>
      <c r="S107" s="267"/>
      <c r="T107" s="137"/>
      <c r="U107" s="136"/>
      <c r="W107" s="139"/>
    </row>
    <row r="108" spans="1:23" ht="15" customHeight="1">
      <c r="A108" s="136"/>
      <c r="B108" s="136"/>
      <c r="C108" s="136" t="s">
        <v>249</v>
      </c>
      <c r="D108" s="136"/>
      <c r="E108" s="136"/>
      <c r="F108" s="136"/>
      <c r="G108" s="137"/>
      <c r="H108" s="137"/>
      <c r="I108" s="137"/>
      <c r="J108" s="137"/>
      <c r="K108" s="137"/>
      <c r="L108" s="137"/>
      <c r="M108" s="267"/>
      <c r="N108" s="267"/>
      <c r="O108" s="267"/>
      <c r="P108" s="267"/>
      <c r="Q108" s="267"/>
      <c r="R108" s="267"/>
      <c r="S108" s="267"/>
      <c r="T108" s="137"/>
      <c r="U108" s="136"/>
      <c r="W108" s="139"/>
    </row>
    <row r="109" spans="1:23" ht="3" customHeight="1">
      <c r="A109" s="136"/>
      <c r="B109" s="136"/>
      <c r="C109" s="136"/>
      <c r="D109" s="136"/>
      <c r="E109" s="136"/>
      <c r="F109" s="136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6"/>
      <c r="W109" s="139"/>
    </row>
    <row r="110" spans="1:23" ht="15" customHeight="1">
      <c r="A110" s="136"/>
      <c r="B110" s="136" t="s">
        <v>271</v>
      </c>
      <c r="C110" s="136"/>
      <c r="D110" s="136"/>
      <c r="E110" s="136"/>
      <c r="F110" s="136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57" t="s">
        <v>251</v>
      </c>
      <c r="R110" s="158" t="s">
        <v>1</v>
      </c>
      <c r="S110" s="182">
        <f>IF(S83=0,0,IF(S81=0,999,S83/S81))</f>
        <v>0</v>
      </c>
      <c r="T110" s="137" t="s">
        <v>144</v>
      </c>
      <c r="U110" s="136"/>
      <c r="W110" s="139"/>
    </row>
    <row r="111" spans="1:23" ht="15" customHeight="1">
      <c r="A111" s="136"/>
      <c r="B111" s="136" t="s">
        <v>320</v>
      </c>
      <c r="C111" s="136"/>
      <c r="D111" s="136"/>
      <c r="E111" s="136"/>
      <c r="F111" s="136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67" t="s">
        <v>260</v>
      </c>
      <c r="R111" s="158" t="s">
        <v>1</v>
      </c>
      <c r="S111" s="182" t="e">
        <f>IF(R112=TRUE,S112,IF(AND(S98=1,S101&lt;&gt;3,S110&lt;=0.25*S73),0.75,1))</f>
        <v>#N/A</v>
      </c>
      <c r="T111" s="188"/>
      <c r="U111" s="136"/>
      <c r="W111" s="139"/>
    </row>
    <row r="112" spans="1:23" ht="15" customHeight="1">
      <c r="A112" s="136"/>
      <c r="B112" s="136"/>
      <c r="C112" s="136" t="s">
        <v>323</v>
      </c>
      <c r="D112" s="136"/>
      <c r="E112" s="136"/>
      <c r="F112" s="136"/>
      <c r="G112" s="137"/>
      <c r="H112" s="137"/>
      <c r="I112" s="137"/>
      <c r="J112" s="137"/>
      <c r="K112" s="137"/>
      <c r="L112" s="137"/>
      <c r="M112" s="137"/>
      <c r="N112" s="137"/>
      <c r="O112" s="137"/>
      <c r="P112" s="199"/>
      <c r="Q112" s="199"/>
      <c r="R112" s="226" t="b">
        <v>0</v>
      </c>
      <c r="S112" s="225"/>
      <c r="T112" s="188"/>
      <c r="U112" s="136"/>
      <c r="W112" s="139"/>
    </row>
    <row r="113" spans="1:23" ht="15" customHeight="1">
      <c r="A113" s="136"/>
      <c r="B113" s="136" t="s">
        <v>321</v>
      </c>
      <c r="C113" s="136"/>
      <c r="D113" s="136"/>
      <c r="E113" s="136"/>
      <c r="F113" s="136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67" t="s">
        <v>108</v>
      </c>
      <c r="R113" s="158" t="s">
        <v>1</v>
      </c>
      <c r="S113" s="182" t="e">
        <f>IF(S105=1,S111,IF(S105=2,IF(S67&lt;=3.5*S69,1/(1+POWER(S111*S67/(3*S69),2))*S111,MAX(1.5*S69/S67,0.3)),IF(S67&lt;=1.15*S69,1/(1+POWER(S111*S67/(S69),2))*S111,0.5*S69/S67)))</f>
        <v>#N/A</v>
      </c>
      <c r="T113" s="188"/>
      <c r="U113" s="136"/>
      <c r="W113" s="139"/>
    </row>
    <row r="114" spans="1:23" ht="15" customHeight="1">
      <c r="A114" s="136"/>
      <c r="B114" s="166" t="s">
        <v>322</v>
      </c>
      <c r="C114" s="166"/>
      <c r="D114" s="166"/>
      <c r="E114" s="166"/>
      <c r="F114" s="166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2" t="s">
        <v>263</v>
      </c>
      <c r="R114" s="173" t="s">
        <v>1</v>
      </c>
      <c r="S114" s="194" t="e">
        <f>S113*S67</f>
        <v>#N/A</v>
      </c>
      <c r="T114" s="174" t="s">
        <v>144</v>
      </c>
      <c r="U114" s="136"/>
      <c r="W114" s="139"/>
    </row>
    <row r="115" spans="1:23" ht="6" customHeight="1">
      <c r="A115" s="136"/>
      <c r="B115" s="145"/>
      <c r="C115" s="190"/>
      <c r="D115" s="190"/>
      <c r="E115" s="190"/>
      <c r="F115" s="190"/>
      <c r="G115" s="191"/>
      <c r="H115" s="191"/>
      <c r="I115" s="191"/>
      <c r="J115" s="191"/>
      <c r="K115" s="191"/>
      <c r="L115" s="191"/>
      <c r="M115" s="191"/>
      <c r="N115" s="191"/>
      <c r="O115" s="191"/>
      <c r="P115" s="137"/>
      <c r="Q115" s="137"/>
      <c r="R115" s="137"/>
      <c r="S115" s="195"/>
      <c r="T115" s="137"/>
      <c r="U115" s="136"/>
      <c r="W115" s="139"/>
    </row>
    <row r="116" spans="1:23" ht="15" customHeight="1">
      <c r="A116" s="136"/>
      <c r="B116" s="183" t="s">
        <v>269</v>
      </c>
      <c r="C116" s="136"/>
      <c r="D116" s="136"/>
      <c r="E116" s="136"/>
      <c r="F116" s="136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60"/>
      <c r="R116" s="158"/>
      <c r="S116" s="182"/>
      <c r="T116" s="188"/>
      <c r="U116" s="136"/>
      <c r="W116" s="139"/>
    </row>
    <row r="117" spans="1:23" ht="15" customHeight="1">
      <c r="A117" s="136"/>
      <c r="B117" s="136" t="s">
        <v>265</v>
      </c>
      <c r="C117" s="136"/>
      <c r="D117" s="136"/>
      <c r="E117" s="136"/>
      <c r="F117" s="136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60" t="s">
        <v>109</v>
      </c>
      <c r="R117" s="158" t="s">
        <v>1</v>
      </c>
      <c r="S117" s="182" t="e">
        <f>S73</f>
        <v>#N/A</v>
      </c>
      <c r="T117" s="137" t="s">
        <v>144</v>
      </c>
      <c r="U117" s="136"/>
      <c r="W117" s="139"/>
    </row>
    <row r="118" spans="1:23" ht="15" customHeight="1">
      <c r="A118" s="136"/>
      <c r="B118" s="136" t="s">
        <v>346</v>
      </c>
      <c r="C118" s="136"/>
      <c r="D118" s="136"/>
      <c r="E118" s="136"/>
      <c r="F118" s="136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60" t="s">
        <v>266</v>
      </c>
      <c r="R118" s="158" t="s">
        <v>1</v>
      </c>
      <c r="S118" s="182" t="e">
        <f>S114/S117</f>
        <v>#N/A</v>
      </c>
      <c r="T118" s="137"/>
      <c r="U118" s="136"/>
      <c r="W118" s="139"/>
    </row>
    <row r="119" spans="1:23" ht="15" customHeight="1">
      <c r="A119" s="136"/>
      <c r="B119" s="136" t="s">
        <v>327</v>
      </c>
      <c r="C119" s="136"/>
      <c r="D119" s="136"/>
      <c r="E119" s="136"/>
      <c r="F119" s="136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60" t="s">
        <v>328</v>
      </c>
      <c r="R119" s="158" t="s">
        <v>1</v>
      </c>
      <c r="S119" s="182">
        <f>S71</f>
        <v>0</v>
      </c>
      <c r="T119" s="137" t="s">
        <v>144</v>
      </c>
      <c r="U119" s="136"/>
      <c r="W119" s="139"/>
    </row>
    <row r="120" spans="1:23" ht="15" customHeight="1">
      <c r="A120" s="136"/>
      <c r="B120" s="136" t="s">
        <v>345</v>
      </c>
      <c r="C120" s="136"/>
      <c r="D120" s="136"/>
      <c r="E120" s="136"/>
      <c r="F120" s="136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60" t="s">
        <v>329</v>
      </c>
      <c r="R120" s="158" t="s">
        <v>1</v>
      </c>
      <c r="S120" s="182" t="e">
        <f>S114/S119</f>
        <v>#N/A</v>
      </c>
      <c r="T120" s="137"/>
      <c r="U120" s="136"/>
      <c r="W120" s="139"/>
    </row>
    <row r="121" spans="1:23" ht="15" customHeight="1">
      <c r="A121" s="136"/>
      <c r="B121" s="166" t="s">
        <v>269</v>
      </c>
      <c r="C121" s="166"/>
      <c r="D121" s="166"/>
      <c r="E121" s="166"/>
      <c r="F121" s="166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222" t="s">
        <v>330</v>
      </c>
      <c r="R121" s="173" t="s">
        <v>1</v>
      </c>
      <c r="S121" s="194" t="e">
        <f>MAX(S118,S120)</f>
        <v>#N/A</v>
      </c>
      <c r="T121" s="174"/>
      <c r="U121" s="136"/>
      <c r="W121" s="139"/>
    </row>
    <row r="122" spans="1:23" ht="3" customHeight="1" thickBot="1">
      <c r="A122" s="136"/>
      <c r="B122" s="136"/>
      <c r="C122" s="136"/>
      <c r="D122" s="136"/>
      <c r="E122" s="136"/>
      <c r="F122" s="136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60"/>
      <c r="R122" s="158"/>
      <c r="S122" s="182"/>
      <c r="T122" s="137"/>
      <c r="U122" s="136"/>
      <c r="W122" s="139"/>
    </row>
    <row r="123" spans="1:23" ht="15" customHeight="1" thickBot="1">
      <c r="A123" s="136"/>
      <c r="B123" s="257" t="str">
        <f>IF(ISERROR(S118&lt;=27),"!!! Zadejte vstupy !!!",IF(S118&lt;=27,CONCATENATE("Štíhlost ",ROUND(S118,3)," vyhovuje, neboť je menší než mezní štíhlost 27"),CONCATENATE("!!! Štíhlost ",ROUND(S118,3)," NEVYHOVUJE, neboť je větší než mezní štíhlost 27 !!!")))</f>
        <v>!!! Zadejte vstupy !!!</v>
      </c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6"/>
      <c r="U123" s="136"/>
      <c r="W123" s="139"/>
    </row>
    <row r="124" spans="1:27" s="156" customFormat="1" ht="6" customHeight="1">
      <c r="A124" s="153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3"/>
      <c r="N124" s="162"/>
      <c r="O124" s="162"/>
      <c r="P124" s="162"/>
      <c r="Q124" s="162"/>
      <c r="R124" s="162"/>
      <c r="S124" s="162"/>
      <c r="T124" s="162"/>
      <c r="U124" s="153"/>
      <c r="W124" s="139"/>
      <c r="X124" s="243"/>
      <c r="Y124" s="243"/>
      <c r="Z124" s="243"/>
      <c r="AA124" s="243"/>
    </row>
    <row r="125" spans="1:23" ht="3" customHeight="1">
      <c r="A125" s="136"/>
      <c r="B125" s="136"/>
      <c r="C125" s="136"/>
      <c r="D125" s="136"/>
      <c r="E125" s="136"/>
      <c r="F125" s="136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6"/>
      <c r="W125" s="139"/>
    </row>
    <row r="126" spans="1:23" ht="15" customHeight="1">
      <c r="A126" s="136"/>
      <c r="B126" s="145" t="s">
        <v>270</v>
      </c>
      <c r="C126" s="136"/>
      <c r="D126" s="136"/>
      <c r="E126" s="136"/>
      <c r="F126" s="136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6"/>
      <c r="R126" s="158"/>
      <c r="S126" s="161"/>
      <c r="T126" s="137"/>
      <c r="U126" s="136"/>
      <c r="W126" s="139"/>
    </row>
    <row r="127" spans="1:23" ht="3" customHeight="1">
      <c r="A127" s="136"/>
      <c r="B127" s="145"/>
      <c r="C127" s="190"/>
      <c r="D127" s="190"/>
      <c r="E127" s="190"/>
      <c r="F127" s="190"/>
      <c r="G127" s="191"/>
      <c r="H127" s="191"/>
      <c r="I127" s="191"/>
      <c r="J127" s="191"/>
      <c r="K127" s="191"/>
      <c r="L127" s="191"/>
      <c r="M127" s="191"/>
      <c r="N127" s="191"/>
      <c r="O127" s="191"/>
      <c r="P127" s="137"/>
      <c r="Q127" s="137"/>
      <c r="R127" s="137"/>
      <c r="S127" s="137"/>
      <c r="T127" s="137"/>
      <c r="U127" s="136"/>
      <c r="W127" s="139"/>
    </row>
    <row r="128" spans="1:23" ht="15" customHeight="1">
      <c r="A128" s="136"/>
      <c r="B128" s="136" t="s">
        <v>272</v>
      </c>
      <c r="C128" s="136"/>
      <c r="D128" s="136"/>
      <c r="E128" s="136"/>
      <c r="F128" s="136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60" t="s">
        <v>274</v>
      </c>
      <c r="R128" s="158" t="s">
        <v>1</v>
      </c>
      <c r="S128" s="182">
        <f>IF(S83=0,0,IF(S81=0,999,S83/S81))</f>
        <v>0</v>
      </c>
      <c r="T128" s="137" t="s">
        <v>144</v>
      </c>
      <c r="U128" s="136"/>
      <c r="W128" s="139"/>
    </row>
    <row r="129" spans="1:23" ht="15" customHeight="1">
      <c r="A129" s="136"/>
      <c r="B129" s="136" t="s">
        <v>273</v>
      </c>
      <c r="C129" s="136"/>
      <c r="D129" s="136"/>
      <c r="E129" s="136"/>
      <c r="F129" s="136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96" t="s">
        <v>110</v>
      </c>
      <c r="R129" s="158" t="s">
        <v>1</v>
      </c>
      <c r="S129" s="182" t="e">
        <f>S114/450</f>
        <v>#N/A</v>
      </c>
      <c r="T129" s="137" t="s">
        <v>144</v>
      </c>
      <c r="U129" s="136"/>
      <c r="W129" s="139"/>
    </row>
    <row r="130" spans="1:23" ht="15" customHeight="1">
      <c r="A130" s="136"/>
      <c r="B130" s="136" t="s">
        <v>275</v>
      </c>
      <c r="C130" s="136"/>
      <c r="D130" s="136"/>
      <c r="E130" s="136"/>
      <c r="F130" s="136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60" t="s">
        <v>296</v>
      </c>
      <c r="R130" s="158" t="s">
        <v>1</v>
      </c>
      <c r="S130" s="182" t="e">
        <f>MAX(S128+S129,0.05*S73)</f>
        <v>#N/A</v>
      </c>
      <c r="T130" s="137" t="s">
        <v>144</v>
      </c>
      <c r="U130" s="136"/>
      <c r="W130" s="139"/>
    </row>
    <row r="131" spans="1:23" ht="15" customHeight="1">
      <c r="A131" s="136"/>
      <c r="B131" s="136" t="s">
        <v>276</v>
      </c>
      <c r="C131" s="136"/>
      <c r="D131" s="136"/>
      <c r="E131" s="136"/>
      <c r="F131" s="136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67" t="s">
        <v>277</v>
      </c>
      <c r="R131" s="158" t="s">
        <v>1</v>
      </c>
      <c r="S131" s="182" t="e">
        <f>MAX(1-2*(S130/S73),0)</f>
        <v>#N/A</v>
      </c>
      <c r="T131" s="137"/>
      <c r="U131" s="136"/>
      <c r="W131" s="139"/>
    </row>
    <row r="132" spans="1:23" ht="15" customHeight="1">
      <c r="A132" s="136"/>
      <c r="B132" s="136" t="s">
        <v>279</v>
      </c>
      <c r="C132" s="136"/>
      <c r="D132" s="136"/>
      <c r="E132" s="136"/>
      <c r="F132" s="136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57" t="s">
        <v>278</v>
      </c>
      <c r="R132" s="158" t="s">
        <v>1</v>
      </c>
      <c r="S132" s="189" t="e">
        <f>(S131*S71*S73*S57*1000)</f>
        <v>#N/A</v>
      </c>
      <c r="T132" s="137" t="s">
        <v>163</v>
      </c>
      <c r="U132" s="136"/>
      <c r="W132" s="139"/>
    </row>
    <row r="133" spans="1:23" ht="3" customHeight="1" thickBot="1">
      <c r="A133" s="136"/>
      <c r="B133" s="136"/>
      <c r="C133" s="136"/>
      <c r="D133" s="136"/>
      <c r="E133" s="136"/>
      <c r="F133" s="136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60"/>
      <c r="R133" s="158"/>
      <c r="S133" s="182"/>
      <c r="T133" s="137"/>
      <c r="U133" s="136"/>
      <c r="W133" s="139"/>
    </row>
    <row r="134" spans="1:23" ht="15" customHeight="1" thickBot="1">
      <c r="A134" s="136"/>
      <c r="B134" s="128" t="s">
        <v>280</v>
      </c>
      <c r="C134" s="129" t="s">
        <v>1</v>
      </c>
      <c r="D134" s="197" t="e">
        <f>S132</f>
        <v>#N/A</v>
      </c>
      <c r="E134" s="129" t="s">
        <v>163</v>
      </c>
      <c r="F134" s="129" t="e">
        <f>IF(D134&gt;=I134,"≥","&lt;")</f>
        <v>#N/A</v>
      </c>
      <c r="G134" s="129" t="s">
        <v>281</v>
      </c>
      <c r="H134" s="129" t="s">
        <v>1</v>
      </c>
      <c r="I134" s="197">
        <f>S81</f>
        <v>0</v>
      </c>
      <c r="J134" s="129" t="s">
        <v>163</v>
      </c>
      <c r="K134" s="264" t="s">
        <v>282</v>
      </c>
      <c r="L134" s="264"/>
      <c r="M134" s="265" t="str">
        <f>IF(ISERROR(D134&gt;=I134),"!!! Zadejte vstupy !!!",IF(D134&gt;=I134,"Únosnost průřezu vyhovuje","!!! Únosnost průřezu NEVYHOVUJE !!!"))</f>
        <v>!!! Zadejte vstupy !!!</v>
      </c>
      <c r="N134" s="265"/>
      <c r="O134" s="265"/>
      <c r="P134" s="265"/>
      <c r="Q134" s="265"/>
      <c r="R134" s="265"/>
      <c r="S134" s="265"/>
      <c r="T134" s="266"/>
      <c r="U134" s="136"/>
      <c r="W134" s="139"/>
    </row>
    <row r="135" spans="1:27" s="156" customFormat="1" ht="6" customHeight="1">
      <c r="A135" s="153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3"/>
      <c r="N135" s="162"/>
      <c r="O135" s="162"/>
      <c r="P135" s="162"/>
      <c r="Q135" s="162"/>
      <c r="R135" s="162"/>
      <c r="S135" s="162"/>
      <c r="T135" s="162"/>
      <c r="U135" s="153"/>
      <c r="W135" s="139"/>
      <c r="X135" s="243"/>
      <c r="Y135" s="243"/>
      <c r="Z135" s="243"/>
      <c r="AA135" s="243"/>
    </row>
    <row r="136" spans="1:23" ht="3" customHeight="1">
      <c r="A136" s="136"/>
      <c r="B136" s="136"/>
      <c r="C136" s="136"/>
      <c r="D136" s="136"/>
      <c r="E136" s="136"/>
      <c r="F136" s="136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6"/>
      <c r="W136" s="139"/>
    </row>
    <row r="137" spans="1:23" ht="15" customHeight="1">
      <c r="A137" s="136"/>
      <c r="B137" s="145" t="s">
        <v>347</v>
      </c>
      <c r="C137" s="136"/>
      <c r="D137" s="136"/>
      <c r="E137" s="136"/>
      <c r="F137" s="136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6"/>
      <c r="W137" s="139"/>
    </row>
    <row r="138" spans="1:23" ht="3" customHeight="1">
      <c r="A138" s="136"/>
      <c r="B138" s="145"/>
      <c r="C138" s="136"/>
      <c r="D138" s="136"/>
      <c r="E138" s="136"/>
      <c r="F138" s="136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6"/>
      <c r="W138" s="139"/>
    </row>
    <row r="139" spans="1:23" ht="15" customHeight="1">
      <c r="A139" s="136"/>
      <c r="B139" s="136" t="s">
        <v>272</v>
      </c>
      <c r="C139" s="136"/>
      <c r="D139" s="136"/>
      <c r="E139" s="136"/>
      <c r="F139" s="136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60" t="s">
        <v>284</v>
      </c>
      <c r="R139" s="158" t="s">
        <v>1</v>
      </c>
      <c r="S139" s="182" t="e">
        <f>S87/S86</f>
        <v>#N/A</v>
      </c>
      <c r="T139" s="137" t="s">
        <v>144</v>
      </c>
      <c r="U139" s="136"/>
      <c r="W139" s="139"/>
    </row>
    <row r="140" spans="1:23" ht="15" customHeight="1">
      <c r="A140" s="136"/>
      <c r="B140" s="136" t="s">
        <v>273</v>
      </c>
      <c r="C140" s="136"/>
      <c r="D140" s="136"/>
      <c r="E140" s="136"/>
      <c r="F140" s="136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96" t="s">
        <v>110</v>
      </c>
      <c r="R140" s="158" t="s">
        <v>1</v>
      </c>
      <c r="S140" s="182" t="e">
        <f>S114/450</f>
        <v>#N/A</v>
      </c>
      <c r="T140" s="137" t="s">
        <v>144</v>
      </c>
      <c r="U140" s="136"/>
      <c r="W140" s="139"/>
    </row>
    <row r="141" spans="1:23" ht="15" customHeight="1">
      <c r="A141" s="136"/>
      <c r="B141" s="136" t="s">
        <v>318</v>
      </c>
      <c r="C141" s="136"/>
      <c r="D141" s="136"/>
      <c r="E141" s="136"/>
      <c r="F141" s="136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98" t="s">
        <v>283</v>
      </c>
      <c r="R141" s="158" t="s">
        <v>1</v>
      </c>
      <c r="S141" s="182">
        <v>1</v>
      </c>
      <c r="T141" s="137"/>
      <c r="U141" s="136"/>
      <c r="W141" s="139"/>
    </row>
    <row r="142" spans="1:23" ht="21.75" customHeight="1">
      <c r="A142" s="136"/>
      <c r="B142" s="136" t="s">
        <v>285</v>
      </c>
      <c r="C142" s="136"/>
      <c r="D142" s="136"/>
      <c r="E142" s="136"/>
      <c r="F142" s="136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60"/>
      <c r="R142" s="158" t="s">
        <v>1</v>
      </c>
      <c r="S142" s="182" t="e">
        <f>0.002*S141*S118*SQRT(S73*(S139+S140))</f>
        <v>#N/A</v>
      </c>
      <c r="T142" s="137" t="s">
        <v>144</v>
      </c>
      <c r="U142" s="136"/>
      <c r="W142" s="139"/>
    </row>
    <row r="143" spans="1:23" ht="15" customHeight="1">
      <c r="A143" s="136"/>
      <c r="B143" s="136" t="s">
        <v>286</v>
      </c>
      <c r="C143" s="136"/>
      <c r="D143" s="136"/>
      <c r="E143" s="136"/>
      <c r="F143" s="136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60" t="s">
        <v>287</v>
      </c>
      <c r="R143" s="158" t="s">
        <v>1</v>
      </c>
      <c r="S143" s="182" t="e">
        <f>MAX(S139+S140+S142,0.05*S73)</f>
        <v>#N/A</v>
      </c>
      <c r="T143" s="137" t="s">
        <v>144</v>
      </c>
      <c r="U143" s="136"/>
      <c r="W143" s="139"/>
    </row>
    <row r="144" spans="1:23" ht="15" customHeight="1">
      <c r="A144" s="136"/>
      <c r="B144" s="136" t="s">
        <v>289</v>
      </c>
      <c r="C144" s="136"/>
      <c r="D144" s="136"/>
      <c r="E144" s="136"/>
      <c r="F144" s="136"/>
      <c r="G144" s="137"/>
      <c r="H144" s="137"/>
      <c r="I144" s="137"/>
      <c r="J144" s="137"/>
      <c r="K144" s="137"/>
      <c r="L144" s="137"/>
      <c r="M144" s="137"/>
      <c r="N144" s="137"/>
      <c r="O144" s="137"/>
      <c r="P144" s="199"/>
      <c r="Q144" s="157" t="s">
        <v>106</v>
      </c>
      <c r="R144" s="158" t="s">
        <v>1</v>
      </c>
      <c r="S144" s="200">
        <v>1000</v>
      </c>
      <c r="T144" s="136"/>
      <c r="U144" s="136"/>
      <c r="W144" s="139"/>
    </row>
    <row r="145" spans="1:23" ht="69.75" customHeight="1">
      <c r="A145" s="136"/>
      <c r="B145" s="136" t="s">
        <v>288</v>
      </c>
      <c r="C145" s="136"/>
      <c r="D145" s="136"/>
      <c r="E145" s="136"/>
      <c r="F145" s="136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67"/>
      <c r="R145" s="158" t="s">
        <v>1</v>
      </c>
      <c r="S145" s="182" t="e">
        <f>MAX((1-2*(S143/S73))*EXP(-POWER((S118*SQRT(1/S144)-0.063)/(0.73-1.17*(S143/S73)),2)/2),0)</f>
        <v>#N/A</v>
      </c>
      <c r="T145" s="201"/>
      <c r="U145" s="136"/>
      <c r="W145" s="139"/>
    </row>
    <row r="146" spans="1:23" ht="15" customHeight="1">
      <c r="A146" s="136"/>
      <c r="B146" s="136" t="s">
        <v>348</v>
      </c>
      <c r="C146" s="136"/>
      <c r="D146" s="136"/>
      <c r="E146" s="136"/>
      <c r="F146" s="136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57" t="s">
        <v>290</v>
      </c>
      <c r="R146" s="158" t="s">
        <v>1</v>
      </c>
      <c r="S146" s="189" t="e">
        <f>S145*S71*S73*S57*1000</f>
        <v>#N/A</v>
      </c>
      <c r="T146" s="137" t="s">
        <v>163</v>
      </c>
      <c r="U146" s="136"/>
      <c r="W146" s="139"/>
    </row>
    <row r="147" spans="1:23" ht="3" customHeight="1" thickBot="1">
      <c r="A147" s="136"/>
      <c r="B147" s="136"/>
      <c r="C147" s="136"/>
      <c r="D147" s="136"/>
      <c r="E147" s="136"/>
      <c r="F147" s="136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60"/>
      <c r="R147" s="158"/>
      <c r="S147" s="182"/>
      <c r="T147" s="137"/>
      <c r="U147" s="136"/>
      <c r="W147" s="139"/>
    </row>
    <row r="148" spans="1:23" ht="15" customHeight="1" thickBot="1">
      <c r="A148" s="136"/>
      <c r="B148" s="128" t="s">
        <v>291</v>
      </c>
      <c r="C148" s="129" t="s">
        <v>1</v>
      </c>
      <c r="D148" s="197" t="e">
        <f>S146</f>
        <v>#N/A</v>
      </c>
      <c r="E148" s="129" t="s">
        <v>163</v>
      </c>
      <c r="F148" s="129" t="e">
        <f>IF(D148&gt;=I148,"≥","&lt;")</f>
        <v>#N/A</v>
      </c>
      <c r="G148" s="129" t="s">
        <v>292</v>
      </c>
      <c r="H148" s="129" t="s">
        <v>1</v>
      </c>
      <c r="I148" s="197" t="e">
        <f>S86</f>
        <v>#N/A</v>
      </c>
      <c r="J148" s="129" t="s">
        <v>163</v>
      </c>
      <c r="K148" s="264" t="s">
        <v>282</v>
      </c>
      <c r="L148" s="264"/>
      <c r="M148" s="265" t="str">
        <f>IF(ISERROR(D148&gt;=I148),"!!! Zadejte vstupy !!!",IF(D148&gt;=I148,"Únosnost průřezu vyhovuje","!!! Únosnost průřezu NEVYHOVUJE !!!"))</f>
        <v>!!! Zadejte vstupy !!!</v>
      </c>
      <c r="N148" s="265"/>
      <c r="O148" s="265"/>
      <c r="P148" s="265"/>
      <c r="Q148" s="265"/>
      <c r="R148" s="265"/>
      <c r="S148" s="265"/>
      <c r="T148" s="266"/>
      <c r="U148" s="136"/>
      <c r="W148" s="139"/>
    </row>
    <row r="149" spans="1:27" s="156" customFormat="1" ht="6" customHeight="1">
      <c r="A149" s="153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3"/>
      <c r="N149" s="162"/>
      <c r="O149" s="162"/>
      <c r="P149" s="162"/>
      <c r="Q149" s="162"/>
      <c r="R149" s="162"/>
      <c r="S149" s="162"/>
      <c r="T149" s="162"/>
      <c r="U149" s="153"/>
      <c r="W149" s="139"/>
      <c r="X149" s="243"/>
      <c r="Y149" s="243"/>
      <c r="Z149" s="243"/>
      <c r="AA149" s="243"/>
    </row>
    <row r="150" spans="1:23" ht="3" customHeight="1">
      <c r="A150" s="136"/>
      <c r="B150" s="136"/>
      <c r="C150" s="136"/>
      <c r="D150" s="136"/>
      <c r="E150" s="136"/>
      <c r="F150" s="136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6"/>
      <c r="W150" s="139"/>
    </row>
    <row r="151" spans="1:23" ht="15" customHeight="1">
      <c r="A151" s="136"/>
      <c r="B151" s="145" t="s">
        <v>349</v>
      </c>
      <c r="C151" s="136"/>
      <c r="D151" s="136"/>
      <c r="E151" s="136"/>
      <c r="F151" s="136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6"/>
      <c r="W151" s="139"/>
    </row>
    <row r="152" spans="1:23" ht="3" customHeight="1">
      <c r="A152" s="136"/>
      <c r="B152" s="145"/>
      <c r="C152" s="136"/>
      <c r="D152" s="136"/>
      <c r="E152" s="136"/>
      <c r="F152" s="136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6"/>
      <c r="W152" s="139"/>
    </row>
    <row r="153" spans="1:23" ht="15" customHeight="1">
      <c r="A153" s="136"/>
      <c r="B153" s="136" t="s">
        <v>272</v>
      </c>
      <c r="C153" s="136"/>
      <c r="D153" s="136"/>
      <c r="E153" s="136"/>
      <c r="F153" s="136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60" t="s">
        <v>331</v>
      </c>
      <c r="R153" s="158" t="s">
        <v>1</v>
      </c>
      <c r="S153" s="182">
        <v>0</v>
      </c>
      <c r="T153" s="137" t="s">
        <v>144</v>
      </c>
      <c r="U153" s="136"/>
      <c r="W153" s="139"/>
    </row>
    <row r="154" spans="1:23" ht="15" customHeight="1">
      <c r="A154" s="136"/>
      <c r="B154" s="136" t="s">
        <v>273</v>
      </c>
      <c r="C154" s="136"/>
      <c r="D154" s="136"/>
      <c r="E154" s="136"/>
      <c r="F154" s="136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96" t="s">
        <v>332</v>
      </c>
      <c r="R154" s="158" t="s">
        <v>1</v>
      </c>
      <c r="S154" s="182" t="e">
        <f>S114/450</f>
        <v>#N/A</v>
      </c>
      <c r="T154" s="137" t="s">
        <v>144</v>
      </c>
      <c r="U154" s="136"/>
      <c r="W154" s="139"/>
    </row>
    <row r="155" spans="1:23" ht="15" customHeight="1">
      <c r="A155" s="136"/>
      <c r="B155" s="136" t="s">
        <v>318</v>
      </c>
      <c r="C155" s="136"/>
      <c r="D155" s="136"/>
      <c r="E155" s="136"/>
      <c r="F155" s="136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98" t="s">
        <v>333</v>
      </c>
      <c r="R155" s="158" t="s">
        <v>1</v>
      </c>
      <c r="S155" s="182">
        <v>1</v>
      </c>
      <c r="T155" s="137"/>
      <c r="U155" s="136"/>
      <c r="W155" s="139"/>
    </row>
    <row r="156" spans="1:23" ht="21.75" customHeight="1">
      <c r="A156" s="136"/>
      <c r="B156" s="136" t="s">
        <v>285</v>
      </c>
      <c r="C156" s="136"/>
      <c r="D156" s="136"/>
      <c r="E156" s="136"/>
      <c r="F156" s="136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60"/>
      <c r="R156" s="158" t="s">
        <v>1</v>
      </c>
      <c r="S156" s="182" t="e">
        <f>0.002*S155*S120*SQRT(S71*(S153+S154))</f>
        <v>#N/A</v>
      </c>
      <c r="T156" s="137" t="s">
        <v>144</v>
      </c>
      <c r="U156" s="136"/>
      <c r="W156" s="139"/>
    </row>
    <row r="157" spans="1:23" ht="15" customHeight="1">
      <c r="A157" s="136"/>
      <c r="B157" s="136" t="s">
        <v>286</v>
      </c>
      <c r="C157" s="136"/>
      <c r="D157" s="136"/>
      <c r="E157" s="136"/>
      <c r="F157" s="136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60" t="s">
        <v>334</v>
      </c>
      <c r="R157" s="158" t="s">
        <v>1</v>
      </c>
      <c r="S157" s="182" t="e">
        <f>MAX(S153+S154+S156,0.05*S71)</f>
        <v>#N/A</v>
      </c>
      <c r="T157" s="137" t="s">
        <v>144</v>
      </c>
      <c r="U157" s="136"/>
      <c r="W157" s="139"/>
    </row>
    <row r="158" spans="1:23" ht="15" customHeight="1">
      <c r="A158" s="136"/>
      <c r="B158" s="136" t="s">
        <v>289</v>
      </c>
      <c r="C158" s="136"/>
      <c r="D158" s="136"/>
      <c r="E158" s="136"/>
      <c r="F158" s="136"/>
      <c r="G158" s="137"/>
      <c r="H158" s="137"/>
      <c r="I158" s="137"/>
      <c r="J158" s="137"/>
      <c r="K158" s="137"/>
      <c r="L158" s="137"/>
      <c r="M158" s="137"/>
      <c r="N158" s="137"/>
      <c r="O158" s="137"/>
      <c r="P158" s="199"/>
      <c r="Q158" s="157" t="s">
        <v>106</v>
      </c>
      <c r="R158" s="158" t="s">
        <v>1</v>
      </c>
      <c r="S158" s="200">
        <v>1000</v>
      </c>
      <c r="T158" s="136"/>
      <c r="U158" s="136"/>
      <c r="W158" s="139"/>
    </row>
    <row r="159" spans="1:23" ht="69.75" customHeight="1">
      <c r="A159" s="136"/>
      <c r="B159" s="136" t="s">
        <v>288</v>
      </c>
      <c r="C159" s="136"/>
      <c r="D159" s="136"/>
      <c r="E159" s="136"/>
      <c r="F159" s="136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67"/>
      <c r="R159" s="158" t="s">
        <v>1</v>
      </c>
      <c r="S159" s="182" t="e">
        <f>MAX((1-2*(S157/S71))*EXP(-POWER((S120*SQRT(1/S158)-0.063)/(0.73-1.17*(S157/S71)),2)/2),0)</f>
        <v>#N/A</v>
      </c>
      <c r="T159" s="201"/>
      <c r="U159" s="136"/>
      <c r="W159" s="139"/>
    </row>
    <row r="160" spans="1:23" ht="15" customHeight="1">
      <c r="A160" s="136"/>
      <c r="B160" s="136" t="s">
        <v>350</v>
      </c>
      <c r="C160" s="136"/>
      <c r="D160" s="136"/>
      <c r="E160" s="136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57" t="s">
        <v>335</v>
      </c>
      <c r="R160" s="158" t="s">
        <v>1</v>
      </c>
      <c r="S160" s="189" t="e">
        <f>S159*S71*S73*S57*1000</f>
        <v>#N/A</v>
      </c>
      <c r="T160" s="137" t="s">
        <v>163</v>
      </c>
      <c r="U160" s="136"/>
      <c r="W160" s="139"/>
    </row>
    <row r="161" spans="1:23" ht="3" customHeight="1" thickBot="1">
      <c r="A161" s="136"/>
      <c r="B161" s="136"/>
      <c r="C161" s="136"/>
      <c r="D161" s="136"/>
      <c r="E161" s="136"/>
      <c r="F161" s="136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60"/>
      <c r="R161" s="158"/>
      <c r="S161" s="182"/>
      <c r="T161" s="137"/>
      <c r="U161" s="136"/>
      <c r="W161" s="139"/>
    </row>
    <row r="162" spans="1:23" ht="15" customHeight="1" thickBot="1">
      <c r="A162" s="136"/>
      <c r="B162" s="128" t="s">
        <v>336</v>
      </c>
      <c r="C162" s="129" t="s">
        <v>1</v>
      </c>
      <c r="D162" s="197" t="e">
        <f>S160</f>
        <v>#N/A</v>
      </c>
      <c r="E162" s="129" t="s">
        <v>163</v>
      </c>
      <c r="F162" s="129" t="e">
        <f>IF(D162&gt;=I162,"≥","&lt;")</f>
        <v>#N/A</v>
      </c>
      <c r="G162" s="129" t="s">
        <v>292</v>
      </c>
      <c r="H162" s="129" t="s">
        <v>1</v>
      </c>
      <c r="I162" s="197" t="e">
        <f>S86</f>
        <v>#N/A</v>
      </c>
      <c r="J162" s="129" t="s">
        <v>163</v>
      </c>
      <c r="K162" s="264" t="s">
        <v>282</v>
      </c>
      <c r="L162" s="264"/>
      <c r="M162" s="265" t="str">
        <f>IF(ISERROR(D162&gt;=I162),"!!! Zadejte vstupy !!!",IF(D162&gt;=I162,"Únosnost průřezu vyhovuje","!!! Únosnost průřezu NEVYHOVUJE !!!"))</f>
        <v>!!! Zadejte vstupy !!!</v>
      </c>
      <c r="N162" s="265"/>
      <c r="O162" s="265"/>
      <c r="P162" s="265"/>
      <c r="Q162" s="265"/>
      <c r="R162" s="265"/>
      <c r="S162" s="265"/>
      <c r="T162" s="266"/>
      <c r="U162" s="136"/>
      <c r="W162" s="139"/>
    </row>
    <row r="163" spans="1:27" s="156" customFormat="1" ht="6" customHeight="1">
      <c r="A163" s="153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3"/>
      <c r="N163" s="162"/>
      <c r="O163" s="162"/>
      <c r="P163" s="162"/>
      <c r="Q163" s="162"/>
      <c r="R163" s="162"/>
      <c r="S163" s="162"/>
      <c r="T163" s="162"/>
      <c r="U163" s="153"/>
      <c r="W163" s="139"/>
      <c r="X163" s="243"/>
      <c r="Y163" s="243"/>
      <c r="Z163" s="243"/>
      <c r="AA163" s="243"/>
    </row>
    <row r="164" spans="1:23" ht="3" customHeight="1">
      <c r="A164" s="136"/>
      <c r="B164" s="136"/>
      <c r="C164" s="136"/>
      <c r="D164" s="136"/>
      <c r="E164" s="136"/>
      <c r="F164" s="136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6"/>
      <c r="W164" s="139"/>
    </row>
    <row r="165" spans="1:23" ht="15" customHeight="1">
      <c r="A165" s="136"/>
      <c r="B165" s="145" t="s">
        <v>293</v>
      </c>
      <c r="C165" s="136"/>
      <c r="D165" s="136"/>
      <c r="E165" s="136"/>
      <c r="F165" s="136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6"/>
      <c r="R165" s="158"/>
      <c r="S165" s="161"/>
      <c r="T165" s="137"/>
      <c r="U165" s="136"/>
      <c r="W165" s="139"/>
    </row>
    <row r="166" spans="1:23" ht="3" customHeight="1">
      <c r="A166" s="136"/>
      <c r="B166" s="202"/>
      <c r="C166" s="136"/>
      <c r="D166" s="136"/>
      <c r="E166" s="136"/>
      <c r="F166" s="136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6"/>
      <c r="R166" s="158"/>
      <c r="S166" s="161"/>
      <c r="T166" s="137"/>
      <c r="U166" s="136"/>
      <c r="W166" s="139"/>
    </row>
    <row r="167" spans="1:23" ht="15" customHeight="1">
      <c r="A167" s="136"/>
      <c r="B167" s="136" t="s">
        <v>272</v>
      </c>
      <c r="C167" s="136"/>
      <c r="D167" s="136"/>
      <c r="E167" s="136"/>
      <c r="F167" s="136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60" t="s">
        <v>294</v>
      </c>
      <c r="R167" s="158" t="s">
        <v>1</v>
      </c>
      <c r="S167" s="182" t="e">
        <f>S91/S90</f>
        <v>#N/A</v>
      </c>
      <c r="T167" s="137" t="s">
        <v>144</v>
      </c>
      <c r="U167" s="136"/>
      <c r="W167" s="139"/>
    </row>
    <row r="168" spans="1:23" ht="15" customHeight="1">
      <c r="A168" s="136"/>
      <c r="B168" s="136" t="s">
        <v>273</v>
      </c>
      <c r="C168" s="136"/>
      <c r="D168" s="136"/>
      <c r="E168" s="136"/>
      <c r="F168" s="136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96" t="s">
        <v>110</v>
      </c>
      <c r="R168" s="158" t="s">
        <v>1</v>
      </c>
      <c r="S168" s="182" t="e">
        <f>S114/450</f>
        <v>#N/A</v>
      </c>
      <c r="T168" s="137" t="s">
        <v>144</v>
      </c>
      <c r="U168" s="136"/>
      <c r="W168" s="139"/>
    </row>
    <row r="169" spans="1:23" ht="15" customHeight="1">
      <c r="A169" s="136"/>
      <c r="B169" s="136" t="s">
        <v>295</v>
      </c>
      <c r="C169" s="136"/>
      <c r="D169" s="136"/>
      <c r="E169" s="136"/>
      <c r="F169" s="136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60" t="s">
        <v>297</v>
      </c>
      <c r="R169" s="158" t="s">
        <v>1</v>
      </c>
      <c r="S169" s="182" t="e">
        <f>MAX(S167+S168,0.05*S73)</f>
        <v>#N/A</v>
      </c>
      <c r="T169" s="137" t="s">
        <v>144</v>
      </c>
      <c r="U169" s="136"/>
      <c r="W169" s="139"/>
    </row>
    <row r="170" spans="1:23" ht="15" customHeight="1">
      <c r="A170" s="136"/>
      <c r="B170" s="136" t="s">
        <v>276</v>
      </c>
      <c r="C170" s="136"/>
      <c r="D170" s="136"/>
      <c r="E170" s="136"/>
      <c r="F170" s="136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67" t="s">
        <v>298</v>
      </c>
      <c r="R170" s="158" t="s">
        <v>1</v>
      </c>
      <c r="S170" s="182" t="e">
        <f>MAX(1-2*(S169/S73),0)</f>
        <v>#N/A</v>
      </c>
      <c r="T170" s="137"/>
      <c r="U170" s="136"/>
      <c r="W170" s="139"/>
    </row>
    <row r="171" spans="1:23" ht="15" customHeight="1">
      <c r="A171" s="136"/>
      <c r="B171" s="136" t="s">
        <v>299</v>
      </c>
      <c r="C171" s="136"/>
      <c r="D171" s="136"/>
      <c r="E171" s="136"/>
      <c r="F171" s="136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57" t="s">
        <v>300</v>
      </c>
      <c r="R171" s="158" t="s">
        <v>1</v>
      </c>
      <c r="S171" s="189" t="e">
        <f>S170*S71*S73*S57*1000</f>
        <v>#N/A</v>
      </c>
      <c r="T171" s="137" t="s">
        <v>163</v>
      </c>
      <c r="U171" s="136"/>
      <c r="W171" s="139"/>
    </row>
    <row r="172" spans="1:23" ht="3" customHeight="1" thickBot="1">
      <c r="A172" s="136"/>
      <c r="B172" s="136"/>
      <c r="C172" s="136"/>
      <c r="D172" s="136"/>
      <c r="E172" s="136"/>
      <c r="F172" s="136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57"/>
      <c r="R172" s="158"/>
      <c r="S172" s="203"/>
      <c r="T172" s="137"/>
      <c r="U172" s="136"/>
      <c r="W172" s="139"/>
    </row>
    <row r="173" spans="1:23" ht="15" customHeight="1" thickBot="1">
      <c r="A173" s="136"/>
      <c r="B173" s="128" t="s">
        <v>302</v>
      </c>
      <c r="C173" s="129" t="s">
        <v>1</v>
      </c>
      <c r="D173" s="197" t="e">
        <f>S171</f>
        <v>#N/A</v>
      </c>
      <c r="E173" s="129" t="s">
        <v>163</v>
      </c>
      <c r="F173" s="129" t="e">
        <f>IF(D173&gt;=I173,"≥","&lt;")</f>
        <v>#N/A</v>
      </c>
      <c r="G173" s="129" t="s">
        <v>303</v>
      </c>
      <c r="H173" s="129" t="s">
        <v>1</v>
      </c>
      <c r="I173" s="197" t="e">
        <f>S90</f>
        <v>#N/A</v>
      </c>
      <c r="J173" s="129" t="s">
        <v>163</v>
      </c>
      <c r="K173" s="264" t="s">
        <v>282</v>
      </c>
      <c r="L173" s="264"/>
      <c r="M173" s="265" t="str">
        <f>IF(ISERROR(D173&gt;=I173),"!!! Zadejte vstupy !!!",IF(D173&gt;=I173,"Únosnost průřezu vyhovuje","!!! Únosnost průřezu NEVYHOVUJE !!!"))</f>
        <v>!!! Zadejte vstupy !!!</v>
      </c>
      <c r="N173" s="265"/>
      <c r="O173" s="265"/>
      <c r="P173" s="265"/>
      <c r="Q173" s="265"/>
      <c r="R173" s="265"/>
      <c r="S173" s="265"/>
      <c r="T173" s="266"/>
      <c r="U173" s="136"/>
      <c r="W173" s="139"/>
    </row>
    <row r="174" spans="1:27" s="156" customFormat="1" ht="6" customHeight="1">
      <c r="A174" s="153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3"/>
      <c r="N174" s="162"/>
      <c r="O174" s="162"/>
      <c r="P174" s="162"/>
      <c r="Q174" s="162"/>
      <c r="R174" s="162"/>
      <c r="S174" s="162"/>
      <c r="T174" s="162"/>
      <c r="U174" s="153"/>
      <c r="W174" s="139"/>
      <c r="X174" s="243"/>
      <c r="Y174" s="243"/>
      <c r="Z174" s="243"/>
      <c r="AA174" s="243"/>
    </row>
    <row r="175" spans="1:23" ht="24.75" customHeight="1" thickBot="1">
      <c r="A175" s="136"/>
      <c r="B175" s="136"/>
      <c r="C175" s="136"/>
      <c r="D175" s="136"/>
      <c r="E175" s="136"/>
      <c r="F175" s="136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6"/>
      <c r="W175" s="139"/>
    </row>
    <row r="176" spans="1:23" ht="24.75" customHeight="1" thickBot="1">
      <c r="A176" s="136"/>
      <c r="B176" s="254" t="str">
        <f>IF(ISERROR(AND(S118&lt;27,D134&gt;=I134,D148&gt;=I148,D162&gt;=I162,D173&gt;=I173)),"!!! Zadejte vstupy !!!",IF(AND(S118&lt;27,D134&gt;=I134,D148&gt;=I148,D162&gt;=I162,D173&gt;=I173),"Konstrukce VYHOVUJE","!!! Konstrukce NEVYHOVUJE !!!"))</f>
        <v>!!! Zadejte vstupy !!!</v>
      </c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6"/>
      <c r="U176" s="136"/>
      <c r="W176" s="139"/>
    </row>
    <row r="177" spans="1:23" ht="24.75" customHeight="1">
      <c r="A177" s="136"/>
      <c r="B177" s="227"/>
      <c r="C177" s="227"/>
      <c r="D177" s="227"/>
      <c r="E177" s="227"/>
      <c r="F177" s="227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136"/>
      <c r="W177" s="139"/>
    </row>
    <row r="178" spans="1:23" ht="15" customHeight="1">
      <c r="A178" s="136"/>
      <c r="B178" s="136"/>
      <c r="C178" s="136"/>
      <c r="D178" s="136"/>
      <c r="E178" s="136"/>
      <c r="F178" s="136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6"/>
      <c r="W178" s="139"/>
    </row>
    <row r="179" ht="15" customHeight="1"/>
    <row r="180" ht="15" customHeight="1"/>
    <row r="181" ht="15" customHeight="1"/>
    <row r="182" ht="15" customHeight="1">
      <c r="B182" s="204"/>
    </row>
    <row r="183" ht="15" customHeight="1"/>
    <row r="184" ht="15" customHeight="1"/>
    <row r="185" ht="15" customHeight="1"/>
    <row r="186" ht="15" customHeight="1">
      <c r="B186" s="204"/>
    </row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spans="2:27" s="206" customFormat="1" ht="15" customHeight="1">
      <c r="B194" s="138"/>
      <c r="C194" s="138"/>
      <c r="D194" s="138"/>
      <c r="E194" s="138"/>
      <c r="F194" s="138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W194" s="207"/>
      <c r="X194" s="243"/>
      <c r="Y194" s="243"/>
      <c r="Z194" s="243"/>
      <c r="AA194" s="243"/>
    </row>
    <row r="195" spans="2:27" s="206" customFormat="1" ht="15" customHeight="1">
      <c r="B195" s="138"/>
      <c r="C195" s="138"/>
      <c r="D195" s="138"/>
      <c r="E195" s="138"/>
      <c r="F195" s="138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W195" s="207"/>
      <c r="X195" s="243"/>
      <c r="Y195" s="243"/>
      <c r="Z195" s="243"/>
      <c r="AA195" s="243"/>
    </row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>
      <c r="B241" s="206"/>
    </row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>
      <c r="B254" s="208"/>
    </row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spans="21:252" ht="15" customHeight="1">
      <c r="U269" s="209"/>
      <c r="V269" s="209"/>
      <c r="W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/>
      <c r="AX269" s="209"/>
      <c r="AY269" s="209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09"/>
      <c r="BK269" s="209"/>
      <c r="BL269" s="209"/>
      <c r="BM269" s="209"/>
      <c r="BN269" s="209"/>
      <c r="BO269" s="209"/>
      <c r="BP269" s="209"/>
      <c r="BQ269" s="209"/>
      <c r="BR269" s="209"/>
      <c r="BS269" s="209"/>
      <c r="BT269" s="209"/>
      <c r="BU269" s="209"/>
      <c r="BV269" s="209"/>
      <c r="BW269" s="209"/>
      <c r="BX269" s="209"/>
      <c r="BY269" s="209"/>
      <c r="BZ269" s="209"/>
      <c r="CA269" s="209"/>
      <c r="CB269" s="209"/>
      <c r="CC269" s="209"/>
      <c r="CD269" s="209"/>
      <c r="CE269" s="209"/>
      <c r="CF269" s="209"/>
      <c r="CG269" s="209"/>
      <c r="CH269" s="209"/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09"/>
      <c r="CX269" s="209"/>
      <c r="CY269" s="209"/>
      <c r="CZ269" s="209"/>
      <c r="DA269" s="209"/>
      <c r="DB269" s="209"/>
      <c r="DC269" s="209"/>
      <c r="DD269" s="209"/>
      <c r="DE269" s="209"/>
      <c r="DF269" s="209"/>
      <c r="DG269" s="209"/>
      <c r="DH269" s="209"/>
      <c r="DI269" s="209"/>
      <c r="DJ269" s="209"/>
      <c r="DK269" s="209"/>
      <c r="DL269" s="209"/>
      <c r="DM269" s="209"/>
      <c r="DN269" s="209"/>
      <c r="DO269" s="209"/>
      <c r="DP269" s="209"/>
      <c r="DQ269" s="209"/>
      <c r="DR269" s="209"/>
      <c r="DS269" s="209"/>
      <c r="DT269" s="209"/>
      <c r="DU269" s="209"/>
      <c r="DV269" s="209"/>
      <c r="DW269" s="209"/>
      <c r="DX269" s="209"/>
      <c r="DY269" s="209"/>
      <c r="DZ269" s="209"/>
      <c r="EA269" s="209"/>
      <c r="EB269" s="209"/>
      <c r="EC269" s="209"/>
      <c r="ED269" s="209"/>
      <c r="EE269" s="209"/>
      <c r="EF269" s="209"/>
      <c r="EG269" s="209"/>
      <c r="EH269" s="209"/>
      <c r="EI269" s="209"/>
      <c r="EJ269" s="209"/>
      <c r="EK269" s="209"/>
      <c r="EL269" s="209"/>
      <c r="EM269" s="209"/>
      <c r="EN269" s="209"/>
      <c r="EO269" s="209"/>
      <c r="EP269" s="209"/>
      <c r="EQ269" s="209"/>
      <c r="ER269" s="209"/>
      <c r="ES269" s="209"/>
      <c r="ET269" s="209"/>
      <c r="EU269" s="209"/>
      <c r="EV269" s="209"/>
      <c r="EW269" s="209"/>
      <c r="EX269" s="209"/>
      <c r="EY269" s="209"/>
      <c r="EZ269" s="209"/>
      <c r="FA269" s="209"/>
      <c r="FB269" s="209"/>
      <c r="FC269" s="209"/>
      <c r="FD269" s="209"/>
      <c r="FE269" s="209"/>
      <c r="FF269" s="209"/>
      <c r="FG269" s="209"/>
      <c r="FH269" s="209"/>
      <c r="FI269" s="209"/>
      <c r="FJ269" s="209"/>
      <c r="FK269" s="209"/>
      <c r="FL269" s="209"/>
      <c r="FM269" s="209"/>
      <c r="FN269" s="209"/>
      <c r="FO269" s="209"/>
      <c r="FP269" s="209"/>
      <c r="FQ269" s="209"/>
      <c r="FR269" s="209"/>
      <c r="FS269" s="209"/>
      <c r="FT269" s="209"/>
      <c r="FU269" s="209"/>
      <c r="FV269" s="209"/>
      <c r="FW269" s="209"/>
      <c r="FX269" s="209"/>
      <c r="FY269" s="209"/>
      <c r="FZ269" s="209"/>
      <c r="GA269" s="209"/>
      <c r="GB269" s="209"/>
      <c r="GC269" s="209"/>
      <c r="GD269" s="209"/>
      <c r="GE269" s="209"/>
      <c r="GF269" s="209"/>
      <c r="GG269" s="209"/>
      <c r="GH269" s="209"/>
      <c r="GI269" s="209"/>
      <c r="GJ269" s="209"/>
      <c r="GK269" s="209"/>
      <c r="GL269" s="209"/>
      <c r="GM269" s="209"/>
      <c r="GN269" s="209"/>
      <c r="GO269" s="209"/>
      <c r="GP269" s="209"/>
      <c r="GQ269" s="209"/>
      <c r="GR269" s="209"/>
      <c r="GS269" s="209"/>
      <c r="GT269" s="209"/>
      <c r="GU269" s="209"/>
      <c r="GV269" s="209"/>
      <c r="GW269" s="209"/>
      <c r="GX269" s="209"/>
      <c r="GY269" s="209"/>
      <c r="GZ269" s="209"/>
      <c r="HA269" s="209"/>
      <c r="HB269" s="209"/>
      <c r="HC269" s="209"/>
      <c r="HD269" s="209"/>
      <c r="HE269" s="209"/>
      <c r="HF269" s="209"/>
      <c r="HG269" s="209"/>
      <c r="HH269" s="209"/>
      <c r="HI269" s="209"/>
      <c r="HJ269" s="209"/>
      <c r="HK269" s="209"/>
      <c r="HL269" s="209"/>
      <c r="HM269" s="209"/>
      <c r="HN269" s="209"/>
      <c r="HO269" s="209"/>
      <c r="HP269" s="209"/>
      <c r="HQ269" s="209"/>
      <c r="HR269" s="209"/>
      <c r="HS269" s="209"/>
      <c r="HT269" s="209"/>
      <c r="HU269" s="209"/>
      <c r="HV269" s="209"/>
      <c r="HW269" s="209"/>
      <c r="HX269" s="209"/>
      <c r="HY269" s="209"/>
      <c r="HZ269" s="209"/>
      <c r="IA269" s="209"/>
      <c r="IB269" s="209"/>
      <c r="IC269" s="209"/>
      <c r="ID269" s="209"/>
      <c r="IE269" s="209"/>
      <c r="IF269" s="209"/>
      <c r="IG269" s="209"/>
      <c r="IH269" s="209"/>
      <c r="II269" s="209"/>
      <c r="IJ269" s="209"/>
      <c r="IK269" s="209"/>
      <c r="IL269" s="209"/>
      <c r="IM269" s="209"/>
      <c r="IN269" s="209"/>
      <c r="IO269" s="209"/>
      <c r="IP269" s="209"/>
      <c r="IQ269" s="209"/>
      <c r="IR269" s="209"/>
    </row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>
      <c r="B280" s="206"/>
    </row>
    <row r="281" ht="15" customHeight="1"/>
    <row r="282" ht="15" customHeight="1">
      <c r="B282" s="206"/>
    </row>
    <row r="283" ht="15" customHeight="1">
      <c r="B283" s="206"/>
    </row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92" spans="7:27" s="211" customFormat="1" ht="14.25"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W392" s="212"/>
      <c r="X392" s="243"/>
      <c r="Y392" s="243"/>
      <c r="Z392" s="243"/>
      <c r="AA392" s="243"/>
    </row>
    <row r="393" spans="7:27" s="211" customFormat="1" ht="14.25"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W393" s="212"/>
      <c r="X393" s="243"/>
      <c r="Y393" s="243"/>
      <c r="Z393" s="243"/>
      <c r="AA393" s="243"/>
    </row>
    <row r="394" spans="7:27" s="211" customFormat="1" ht="14.25"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W394" s="212"/>
      <c r="X394" s="243"/>
      <c r="Y394" s="243"/>
      <c r="Z394" s="243"/>
      <c r="AA394" s="243"/>
    </row>
    <row r="395" spans="7:27" s="211" customFormat="1" ht="14.25"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W395" s="212"/>
      <c r="X395" s="243"/>
      <c r="Y395" s="243"/>
      <c r="Z395" s="243"/>
      <c r="AA395" s="243"/>
    </row>
    <row r="396" spans="7:27" s="211" customFormat="1" ht="14.25"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W396" s="212"/>
      <c r="X396" s="243"/>
      <c r="Y396" s="243"/>
      <c r="Z396" s="243"/>
      <c r="AA396" s="243"/>
    </row>
    <row r="397" spans="7:27" s="211" customFormat="1" ht="14.25"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W397" s="212"/>
      <c r="X397" s="243"/>
      <c r="Y397" s="243"/>
      <c r="Z397" s="243"/>
      <c r="AA397" s="243"/>
    </row>
    <row r="398" spans="7:27" s="211" customFormat="1" ht="14.25"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W398" s="212"/>
      <c r="X398" s="243"/>
      <c r="Y398" s="243"/>
      <c r="Z398" s="243"/>
      <c r="AA398" s="243"/>
    </row>
    <row r="399" spans="7:27" s="211" customFormat="1" ht="14.25"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W399" s="212"/>
      <c r="X399" s="243"/>
      <c r="Y399" s="243"/>
      <c r="Z399" s="243"/>
      <c r="AA399" s="243"/>
    </row>
    <row r="400" spans="7:27" s="211" customFormat="1" ht="14.25"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W400" s="212"/>
      <c r="X400" s="243"/>
      <c r="Y400" s="243"/>
      <c r="Z400" s="243"/>
      <c r="AA400" s="243"/>
    </row>
    <row r="401" spans="7:27" s="211" customFormat="1" ht="14.25"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W401" s="212"/>
      <c r="X401" s="243"/>
      <c r="Y401" s="243"/>
      <c r="Z401" s="243"/>
      <c r="AA401" s="243"/>
    </row>
    <row r="402" spans="7:27" s="211" customFormat="1" ht="14.25"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W402" s="212"/>
      <c r="X402" s="243"/>
      <c r="Y402" s="243"/>
      <c r="Z402" s="243"/>
      <c r="AA402" s="243"/>
    </row>
    <row r="403" spans="7:27" s="211" customFormat="1" ht="14.25"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W403" s="212"/>
      <c r="X403" s="243"/>
      <c r="Y403" s="243"/>
      <c r="Z403" s="243"/>
      <c r="AA403" s="243"/>
    </row>
    <row r="404" spans="7:27" s="211" customFormat="1" ht="14.25"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W404" s="212"/>
      <c r="X404" s="243"/>
      <c r="Y404" s="243"/>
      <c r="Z404" s="243"/>
      <c r="AA404" s="243"/>
    </row>
    <row r="405" spans="7:27" s="211" customFormat="1" ht="14.25"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W405" s="212"/>
      <c r="X405" s="243"/>
      <c r="Y405" s="243"/>
      <c r="Z405" s="243"/>
      <c r="AA405" s="243"/>
    </row>
    <row r="406" spans="7:27" s="211" customFormat="1" ht="14.25"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W406" s="212"/>
      <c r="X406" s="243"/>
      <c r="Y406" s="243"/>
      <c r="Z406" s="243"/>
      <c r="AA406" s="243"/>
    </row>
    <row r="407" spans="7:27" s="211" customFormat="1" ht="14.25"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W407" s="212"/>
      <c r="X407" s="243"/>
      <c r="Y407" s="243"/>
      <c r="Z407" s="243"/>
      <c r="AA407" s="243"/>
    </row>
    <row r="408" spans="7:27" s="211" customFormat="1" ht="14.25"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W408" s="212"/>
      <c r="X408" s="243"/>
      <c r="Y408" s="243"/>
      <c r="Z408" s="243"/>
      <c r="AA408" s="243"/>
    </row>
    <row r="409" spans="7:27" s="211" customFormat="1" ht="14.25"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W409" s="212"/>
      <c r="X409" s="243"/>
      <c r="Y409" s="243"/>
      <c r="Z409" s="243"/>
      <c r="AA409" s="243"/>
    </row>
    <row r="410" spans="7:27" s="211" customFormat="1" ht="14.25"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W410" s="212"/>
      <c r="X410" s="243"/>
      <c r="Y410" s="243"/>
      <c r="Z410" s="243"/>
      <c r="AA410" s="243"/>
    </row>
    <row r="411" spans="7:27" s="211" customFormat="1" ht="14.25"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W411" s="212"/>
      <c r="X411" s="243"/>
      <c r="Y411" s="243"/>
      <c r="Z411" s="243"/>
      <c r="AA411" s="243"/>
    </row>
    <row r="412" spans="7:27" s="211" customFormat="1" ht="14.25"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W412" s="212"/>
      <c r="X412" s="243"/>
      <c r="Y412" s="243"/>
      <c r="Z412" s="243"/>
      <c r="AA412" s="243"/>
    </row>
    <row r="413" spans="7:27" s="211" customFormat="1" ht="14.25"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W413" s="212"/>
      <c r="X413" s="243"/>
      <c r="Y413" s="243"/>
      <c r="Z413" s="243"/>
      <c r="AA413" s="243"/>
    </row>
    <row r="414" spans="7:27" s="211" customFormat="1" ht="14.25"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W414" s="212"/>
      <c r="X414" s="243"/>
      <c r="Y414" s="243"/>
      <c r="Z414" s="243"/>
      <c r="AA414" s="243"/>
    </row>
    <row r="415" spans="7:27" s="211" customFormat="1" ht="14.25"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W415" s="212"/>
      <c r="X415" s="243"/>
      <c r="Y415" s="243"/>
      <c r="Z415" s="243"/>
      <c r="AA415" s="243"/>
    </row>
    <row r="416" spans="7:27" s="211" customFormat="1" ht="14.25"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W416" s="212"/>
      <c r="X416" s="243"/>
      <c r="Y416" s="243"/>
      <c r="Z416" s="243"/>
      <c r="AA416" s="243"/>
    </row>
    <row r="417" spans="7:27" s="211" customFormat="1" ht="14.25"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W417" s="212"/>
      <c r="X417" s="243"/>
      <c r="Y417" s="243"/>
      <c r="Z417" s="243"/>
      <c r="AA417" s="243"/>
    </row>
    <row r="418" spans="7:27" s="211" customFormat="1" ht="14.25"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W418" s="212"/>
      <c r="X418" s="243"/>
      <c r="Y418" s="243"/>
      <c r="Z418" s="243"/>
      <c r="AA418" s="243"/>
    </row>
    <row r="419" spans="7:27" s="211" customFormat="1" ht="14.25"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W419" s="212"/>
      <c r="X419" s="243"/>
      <c r="Y419" s="243"/>
      <c r="Z419" s="243"/>
      <c r="AA419" s="243"/>
    </row>
    <row r="420" spans="7:27" s="211" customFormat="1" ht="14.25"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W420" s="212"/>
      <c r="X420" s="243"/>
      <c r="Y420" s="243"/>
      <c r="Z420" s="243"/>
      <c r="AA420" s="243"/>
    </row>
    <row r="421" spans="7:27" s="211" customFormat="1" ht="14.25"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W421" s="212"/>
      <c r="X421" s="243"/>
      <c r="Y421" s="243"/>
      <c r="Z421" s="243"/>
      <c r="AA421" s="243"/>
    </row>
    <row r="422" spans="7:27" s="211" customFormat="1" ht="14.25"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W422" s="212"/>
      <c r="X422" s="243"/>
      <c r="Y422" s="243"/>
      <c r="Z422" s="243"/>
      <c r="AA422" s="243"/>
    </row>
    <row r="423" spans="7:27" s="211" customFormat="1" ht="14.25"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W423" s="212"/>
      <c r="X423" s="243"/>
      <c r="Y423" s="243"/>
      <c r="Z423" s="243"/>
      <c r="AA423" s="243"/>
    </row>
    <row r="424" spans="7:27" s="211" customFormat="1" ht="14.25"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W424" s="212"/>
      <c r="X424" s="243"/>
      <c r="Y424" s="243"/>
      <c r="Z424" s="243"/>
      <c r="AA424" s="243"/>
    </row>
    <row r="425" spans="7:27" s="211" customFormat="1" ht="14.25"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W425" s="212"/>
      <c r="X425" s="243"/>
      <c r="Y425" s="243"/>
      <c r="Z425" s="243"/>
      <c r="AA425" s="243"/>
    </row>
    <row r="426" spans="7:27" s="211" customFormat="1" ht="14.25"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W426" s="212"/>
      <c r="X426" s="243"/>
      <c r="Y426" s="243"/>
      <c r="Z426" s="243"/>
      <c r="AA426" s="243"/>
    </row>
    <row r="427" spans="7:27" s="211" customFormat="1" ht="14.25"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W427" s="212"/>
      <c r="X427" s="243"/>
      <c r="Y427" s="243"/>
      <c r="Z427" s="243"/>
      <c r="AA427" s="243"/>
    </row>
    <row r="428" spans="7:27" s="211" customFormat="1" ht="14.25"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W428" s="212"/>
      <c r="X428" s="243"/>
      <c r="Y428" s="243"/>
      <c r="Z428" s="243"/>
      <c r="AA428" s="243"/>
    </row>
    <row r="429" spans="7:27" s="211" customFormat="1" ht="14.25"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W429" s="212"/>
      <c r="X429" s="243"/>
      <c r="Y429" s="243"/>
      <c r="Z429" s="243"/>
      <c r="AA429" s="243"/>
    </row>
    <row r="430" spans="7:27" s="211" customFormat="1" ht="14.25"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W430" s="212"/>
      <c r="X430" s="243"/>
      <c r="Y430" s="243"/>
      <c r="Z430" s="243"/>
      <c r="AA430" s="243"/>
    </row>
    <row r="431" spans="7:27" s="211" customFormat="1" ht="14.25"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W431" s="212"/>
      <c r="X431" s="243"/>
      <c r="Y431" s="243"/>
      <c r="Z431" s="243"/>
      <c r="AA431" s="243"/>
    </row>
    <row r="432" spans="7:27" s="211" customFormat="1" ht="14.25"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W432" s="212"/>
      <c r="X432" s="243"/>
      <c r="Y432" s="243"/>
      <c r="Z432" s="243"/>
      <c r="AA432" s="243"/>
    </row>
    <row r="433" spans="7:27" s="211" customFormat="1" ht="14.25"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W433" s="212"/>
      <c r="X433" s="243"/>
      <c r="Y433" s="243"/>
      <c r="Z433" s="243"/>
      <c r="AA433" s="243"/>
    </row>
    <row r="434" spans="7:27" s="211" customFormat="1" ht="14.25"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W434" s="212"/>
      <c r="X434" s="243"/>
      <c r="Y434" s="243"/>
      <c r="Z434" s="243"/>
      <c r="AA434" s="243"/>
    </row>
    <row r="435" spans="7:27" s="211" customFormat="1" ht="14.25"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W435" s="212"/>
      <c r="X435" s="243"/>
      <c r="Y435" s="243"/>
      <c r="Z435" s="243"/>
      <c r="AA435" s="243"/>
    </row>
    <row r="436" spans="7:27" s="211" customFormat="1" ht="14.25"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W436" s="212"/>
      <c r="X436" s="243"/>
      <c r="Y436" s="243"/>
      <c r="Z436" s="243"/>
      <c r="AA436" s="243"/>
    </row>
    <row r="437" spans="7:27" s="211" customFormat="1" ht="14.25"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W437" s="212"/>
      <c r="X437" s="243"/>
      <c r="Y437" s="243"/>
      <c r="Z437" s="243"/>
      <c r="AA437" s="243"/>
    </row>
    <row r="438" spans="2:20" ht="14.25">
      <c r="B438" s="211"/>
      <c r="C438" s="211"/>
      <c r="D438" s="211"/>
      <c r="E438" s="211"/>
      <c r="F438" s="211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</row>
    <row r="439" spans="2:20" ht="14.25">
      <c r="B439" s="211"/>
      <c r="C439" s="211"/>
      <c r="D439" s="211"/>
      <c r="E439" s="211"/>
      <c r="F439" s="211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</row>
    <row r="440" spans="2:20" ht="14.25">
      <c r="B440" s="211"/>
      <c r="C440" s="211"/>
      <c r="D440" s="211"/>
      <c r="E440" s="211"/>
      <c r="F440" s="211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</row>
    <row r="441" spans="2:20" ht="14.25">
      <c r="B441" s="211"/>
      <c r="C441" s="211"/>
      <c r="D441" s="211"/>
      <c r="E441" s="211"/>
      <c r="F441" s="211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</row>
    <row r="442" spans="2:20" ht="14.25">
      <c r="B442" s="211"/>
      <c r="C442" s="211"/>
      <c r="D442" s="211"/>
      <c r="E442" s="211"/>
      <c r="F442" s="211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</row>
    <row r="443" spans="2:20" ht="14.25">
      <c r="B443" s="211"/>
      <c r="C443" s="211"/>
      <c r="D443" s="211"/>
      <c r="E443" s="211"/>
      <c r="F443" s="211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</row>
    <row r="444" spans="7:27" s="211" customFormat="1" ht="14.25"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W444" s="212"/>
      <c r="X444" s="243"/>
      <c r="Y444" s="243"/>
      <c r="Z444" s="243"/>
      <c r="AA444" s="243"/>
    </row>
    <row r="445" spans="7:27" s="211" customFormat="1" ht="14.25"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W445" s="212"/>
      <c r="X445" s="243"/>
      <c r="Y445" s="243"/>
      <c r="Z445" s="243"/>
      <c r="AA445" s="243"/>
    </row>
    <row r="446" spans="7:27" s="211" customFormat="1" ht="14.25"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W446" s="212"/>
      <c r="X446" s="243"/>
      <c r="Y446" s="243"/>
      <c r="Z446" s="243"/>
      <c r="AA446" s="243"/>
    </row>
    <row r="447" spans="2:20" ht="14.25">
      <c r="B447" s="211"/>
      <c r="C447" s="211"/>
      <c r="D447" s="211"/>
      <c r="E447" s="211"/>
      <c r="F447" s="211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</row>
    <row r="448" spans="2:20" ht="14.25">
      <c r="B448" s="211"/>
      <c r="C448" s="211"/>
      <c r="D448" s="211"/>
      <c r="E448" s="211"/>
      <c r="F448" s="211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</row>
    <row r="449" spans="2:22" ht="14.25">
      <c r="B449" s="211"/>
      <c r="C449" s="211"/>
      <c r="D449" s="211"/>
      <c r="E449" s="211"/>
      <c r="F449" s="211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1"/>
      <c r="V449" s="211"/>
    </row>
    <row r="450" spans="2:22" ht="14.25">
      <c r="B450" s="211"/>
      <c r="C450" s="211"/>
      <c r="D450" s="211"/>
      <c r="E450" s="211"/>
      <c r="F450" s="211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1"/>
      <c r="V450" s="211"/>
    </row>
    <row r="451" spans="2:22" ht="14.25">
      <c r="B451" s="211"/>
      <c r="C451" s="211"/>
      <c r="D451" s="211"/>
      <c r="E451" s="211"/>
      <c r="F451" s="211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1"/>
      <c r="V451" s="211"/>
    </row>
    <row r="452" spans="2:22" ht="14.25">
      <c r="B452" s="211"/>
      <c r="C452" s="211"/>
      <c r="D452" s="211"/>
      <c r="E452" s="211"/>
      <c r="F452" s="211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1"/>
      <c r="V452" s="211"/>
    </row>
    <row r="453" spans="2:22" ht="14.25">
      <c r="B453" s="211"/>
      <c r="C453" s="211"/>
      <c r="D453" s="211"/>
      <c r="E453" s="211"/>
      <c r="F453" s="211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1"/>
      <c r="V453" s="211"/>
    </row>
    <row r="454" spans="2:22" ht="14.25">
      <c r="B454" s="211"/>
      <c r="C454" s="211"/>
      <c r="D454" s="211"/>
      <c r="E454" s="211"/>
      <c r="F454" s="211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1"/>
      <c r="V454" s="211"/>
    </row>
    <row r="455" spans="2:22" ht="14.25">
      <c r="B455" s="211"/>
      <c r="C455" s="211"/>
      <c r="D455" s="211"/>
      <c r="E455" s="211"/>
      <c r="F455" s="211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1"/>
      <c r="V455" s="211"/>
    </row>
    <row r="456" spans="2:22" ht="14.25">
      <c r="B456" s="211"/>
      <c r="C456" s="211"/>
      <c r="D456" s="211"/>
      <c r="E456" s="211"/>
      <c r="F456" s="211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1"/>
      <c r="V456" s="211"/>
    </row>
    <row r="457" spans="2:22" ht="14.25">
      <c r="B457" s="211"/>
      <c r="C457" s="211"/>
      <c r="D457" s="211"/>
      <c r="E457" s="211"/>
      <c r="F457" s="211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1"/>
      <c r="V457" s="211"/>
    </row>
    <row r="458" spans="2:22" ht="14.25">
      <c r="B458" s="211"/>
      <c r="C458" s="211"/>
      <c r="D458" s="211"/>
      <c r="E458" s="211"/>
      <c r="F458" s="211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1"/>
      <c r="V458" s="211"/>
    </row>
    <row r="459" spans="2:22" ht="14.25">
      <c r="B459" s="211"/>
      <c r="C459" s="211"/>
      <c r="D459" s="211"/>
      <c r="E459" s="211"/>
      <c r="F459" s="211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1"/>
      <c r="V459" s="211"/>
    </row>
    <row r="460" spans="2:22" ht="14.25">
      <c r="B460" s="211"/>
      <c r="C460" s="211"/>
      <c r="D460" s="211"/>
      <c r="E460" s="211"/>
      <c r="F460" s="211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1"/>
      <c r="V460" s="211"/>
    </row>
    <row r="461" spans="2:22" ht="14.25">
      <c r="B461" s="211"/>
      <c r="C461" s="211"/>
      <c r="D461" s="211"/>
      <c r="E461" s="211"/>
      <c r="F461" s="211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1"/>
      <c r="V461" s="211"/>
    </row>
    <row r="462" spans="2:22" ht="14.25">
      <c r="B462" s="211"/>
      <c r="C462" s="211"/>
      <c r="D462" s="211"/>
      <c r="E462" s="211"/>
      <c r="F462" s="211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1"/>
      <c r="V462" s="211"/>
    </row>
    <row r="463" spans="2:22" ht="14.25">
      <c r="B463" s="211"/>
      <c r="C463" s="211"/>
      <c r="D463" s="211"/>
      <c r="E463" s="211"/>
      <c r="F463" s="211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1"/>
      <c r="V463" s="211"/>
    </row>
    <row r="464" spans="2:22" ht="14.25">
      <c r="B464" s="211"/>
      <c r="C464" s="211"/>
      <c r="D464" s="211"/>
      <c r="E464" s="211"/>
      <c r="F464" s="211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1"/>
      <c r="V464" s="211"/>
    </row>
    <row r="465" spans="2:22" ht="14.25">
      <c r="B465" s="211"/>
      <c r="C465" s="211"/>
      <c r="D465" s="211"/>
      <c r="E465" s="211"/>
      <c r="F465" s="211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1"/>
      <c r="V465" s="211"/>
    </row>
    <row r="466" spans="2:22" ht="14.25">
      <c r="B466" s="211"/>
      <c r="C466" s="211"/>
      <c r="D466" s="211"/>
      <c r="E466" s="211"/>
      <c r="F466" s="211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1"/>
      <c r="V466" s="211"/>
    </row>
    <row r="467" spans="2:22" ht="14.25">
      <c r="B467" s="211"/>
      <c r="C467" s="211"/>
      <c r="D467" s="211"/>
      <c r="E467" s="211"/>
      <c r="F467" s="211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1"/>
      <c r="V467" s="211"/>
    </row>
    <row r="468" spans="2:22" ht="14.25">
      <c r="B468" s="211"/>
      <c r="C468" s="211"/>
      <c r="D468" s="211"/>
      <c r="E468" s="211"/>
      <c r="F468" s="211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1"/>
      <c r="V468" s="211"/>
    </row>
    <row r="469" spans="2:22" ht="14.25">
      <c r="B469" s="211"/>
      <c r="C469" s="211"/>
      <c r="D469" s="211"/>
      <c r="E469" s="211"/>
      <c r="F469" s="211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1"/>
      <c r="V469" s="211"/>
    </row>
    <row r="470" spans="2:22" ht="14.25">
      <c r="B470" s="211"/>
      <c r="C470" s="211"/>
      <c r="D470" s="211"/>
      <c r="E470" s="211"/>
      <c r="F470" s="211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1"/>
      <c r="V470" s="211"/>
    </row>
    <row r="471" spans="2:22" ht="14.25">
      <c r="B471" s="211"/>
      <c r="C471" s="211"/>
      <c r="D471" s="211"/>
      <c r="E471" s="211"/>
      <c r="F471" s="211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1"/>
      <c r="V471" s="211"/>
    </row>
    <row r="472" spans="2:22" ht="14.25">
      <c r="B472" s="211"/>
      <c r="C472" s="211"/>
      <c r="D472" s="211"/>
      <c r="E472" s="211"/>
      <c r="F472" s="211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1"/>
      <c r="V472" s="211"/>
    </row>
    <row r="473" spans="2:22" ht="14.25">
      <c r="B473" s="211"/>
      <c r="C473" s="211"/>
      <c r="D473" s="211"/>
      <c r="E473" s="211"/>
      <c r="F473" s="211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1"/>
      <c r="V473" s="211"/>
    </row>
    <row r="474" spans="2:22" ht="14.25">
      <c r="B474" s="211"/>
      <c r="C474" s="211"/>
      <c r="D474" s="211"/>
      <c r="E474" s="211"/>
      <c r="F474" s="211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1"/>
      <c r="V474" s="211"/>
    </row>
    <row r="475" spans="2:22" ht="14.25">
      <c r="B475" s="211"/>
      <c r="C475" s="211"/>
      <c r="D475" s="211"/>
      <c r="E475" s="211"/>
      <c r="F475" s="211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1"/>
      <c r="V475" s="211"/>
    </row>
    <row r="476" spans="2:22" ht="14.25">
      <c r="B476" s="211"/>
      <c r="C476" s="211"/>
      <c r="D476" s="211"/>
      <c r="E476" s="211"/>
      <c r="F476" s="211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1"/>
      <c r="V476" s="211"/>
    </row>
    <row r="477" spans="2:22" ht="14.25">
      <c r="B477" s="211"/>
      <c r="C477" s="211"/>
      <c r="D477" s="211"/>
      <c r="E477" s="211"/>
      <c r="F477" s="211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1"/>
      <c r="V477" s="211"/>
    </row>
    <row r="478" spans="2:22" ht="14.25">
      <c r="B478" s="211"/>
      <c r="C478" s="211"/>
      <c r="D478" s="211"/>
      <c r="E478" s="211"/>
      <c r="F478" s="211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1"/>
      <c r="V478" s="211"/>
    </row>
    <row r="479" spans="2:22" ht="14.25">
      <c r="B479" s="211"/>
      <c r="C479" s="211"/>
      <c r="D479" s="211"/>
      <c r="E479" s="211"/>
      <c r="F479" s="211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1"/>
      <c r="V479" s="211"/>
    </row>
    <row r="480" spans="2:22" ht="14.25">
      <c r="B480" s="211"/>
      <c r="C480" s="211"/>
      <c r="D480" s="211"/>
      <c r="E480" s="211"/>
      <c r="F480" s="211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1"/>
      <c r="V480" s="211"/>
    </row>
    <row r="481" spans="2:22" ht="14.25">
      <c r="B481" s="211"/>
      <c r="C481" s="211"/>
      <c r="D481" s="211"/>
      <c r="E481" s="211"/>
      <c r="F481" s="211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1"/>
      <c r="V481" s="211"/>
    </row>
    <row r="482" spans="2:22" ht="14.25">
      <c r="B482" s="211"/>
      <c r="C482" s="211"/>
      <c r="D482" s="211"/>
      <c r="E482" s="211"/>
      <c r="F482" s="211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1"/>
      <c r="V482" s="211"/>
    </row>
    <row r="483" spans="2:22" ht="14.25">
      <c r="B483" s="211"/>
      <c r="C483" s="211"/>
      <c r="D483" s="211"/>
      <c r="E483" s="211"/>
      <c r="F483" s="211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1"/>
      <c r="V483" s="211"/>
    </row>
    <row r="484" spans="2:22" ht="14.25">
      <c r="B484" s="211"/>
      <c r="C484" s="211"/>
      <c r="D484" s="211"/>
      <c r="E484" s="211"/>
      <c r="F484" s="211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1"/>
      <c r="V484" s="211"/>
    </row>
    <row r="485" spans="2:22" ht="14.25">
      <c r="B485" s="211"/>
      <c r="C485" s="211"/>
      <c r="D485" s="211"/>
      <c r="E485" s="211"/>
      <c r="F485" s="211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1"/>
      <c r="V485" s="211"/>
    </row>
    <row r="486" spans="2:22" ht="14.25">
      <c r="B486" s="211"/>
      <c r="C486" s="211"/>
      <c r="D486" s="211"/>
      <c r="E486" s="211"/>
      <c r="F486" s="211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1"/>
      <c r="V486" s="211"/>
    </row>
    <row r="487" spans="2:22" ht="14.25">
      <c r="B487" s="211"/>
      <c r="C487" s="211"/>
      <c r="D487" s="211"/>
      <c r="E487" s="211"/>
      <c r="F487" s="211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1"/>
      <c r="V487" s="211"/>
    </row>
    <row r="488" spans="2:22" ht="14.25">
      <c r="B488" s="211"/>
      <c r="C488" s="211"/>
      <c r="D488" s="211"/>
      <c r="E488" s="211"/>
      <c r="F488" s="211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1"/>
      <c r="V488" s="211"/>
    </row>
    <row r="489" spans="2:20" ht="14.25">
      <c r="B489" s="211"/>
      <c r="C489" s="211"/>
      <c r="D489" s="211"/>
      <c r="E489" s="211"/>
      <c r="F489" s="211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</row>
    <row r="490" spans="2:20" ht="14.25">
      <c r="B490" s="211"/>
      <c r="C490" s="211"/>
      <c r="D490" s="211"/>
      <c r="E490" s="211"/>
      <c r="F490" s="211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</row>
    <row r="491" spans="2:20" ht="14.25">
      <c r="B491" s="211"/>
      <c r="C491" s="211"/>
      <c r="D491" s="211"/>
      <c r="E491" s="211"/>
      <c r="F491" s="211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</row>
    <row r="492" spans="2:20" ht="14.25">
      <c r="B492" s="211"/>
      <c r="C492" s="211"/>
      <c r="D492" s="211"/>
      <c r="E492" s="211"/>
      <c r="F492" s="211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</row>
    <row r="493" spans="2:20" ht="14.25">
      <c r="B493" s="211"/>
      <c r="C493" s="211"/>
      <c r="D493" s="211"/>
      <c r="E493" s="211"/>
      <c r="F493" s="211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</row>
    <row r="494" spans="2:20" ht="14.25">
      <c r="B494" s="211"/>
      <c r="C494" s="211"/>
      <c r="D494" s="211"/>
      <c r="E494" s="211"/>
      <c r="F494" s="211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</row>
    <row r="495" spans="2:20" ht="14.25">
      <c r="B495" s="211"/>
      <c r="C495" s="211"/>
      <c r="D495" s="211"/>
      <c r="E495" s="211"/>
      <c r="F495" s="211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</row>
    <row r="496" spans="2:20" ht="14.25">
      <c r="B496" s="211"/>
      <c r="C496" s="211"/>
      <c r="D496" s="211"/>
      <c r="E496" s="211"/>
      <c r="F496" s="211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</row>
    <row r="497" spans="2:20" ht="14.25">
      <c r="B497" s="211"/>
      <c r="C497" s="211"/>
      <c r="D497" s="211"/>
      <c r="E497" s="211"/>
      <c r="F497" s="211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</row>
    <row r="498" spans="2:20" ht="14.25">
      <c r="B498" s="211"/>
      <c r="C498" s="211"/>
      <c r="D498" s="211"/>
      <c r="E498" s="211"/>
      <c r="F498" s="211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</row>
    <row r="499" spans="2:20" ht="14.25">
      <c r="B499" s="211"/>
      <c r="C499" s="211"/>
      <c r="D499" s="211"/>
      <c r="E499" s="211"/>
      <c r="F499" s="211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</row>
    <row r="500" spans="2:20" ht="14.25">
      <c r="B500" s="211"/>
      <c r="C500" s="211"/>
      <c r="D500" s="211"/>
      <c r="E500" s="211"/>
      <c r="F500" s="211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</row>
    <row r="501" spans="2:20" ht="14.25">
      <c r="B501" s="211"/>
      <c r="C501" s="211"/>
      <c r="D501" s="211"/>
      <c r="E501" s="211"/>
      <c r="F501" s="211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</row>
    <row r="502" spans="2:20" ht="14.25">
      <c r="B502" s="211"/>
      <c r="C502" s="211"/>
      <c r="D502" s="211"/>
      <c r="E502" s="211"/>
      <c r="F502" s="211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</row>
    <row r="503" spans="2:20" ht="14.25">
      <c r="B503" s="211"/>
      <c r="C503" s="211"/>
      <c r="D503" s="211"/>
      <c r="E503" s="211"/>
      <c r="F503" s="211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</row>
    <row r="504" spans="2:20" ht="14.25">
      <c r="B504" s="211"/>
      <c r="C504" s="211"/>
      <c r="D504" s="211"/>
      <c r="E504" s="211"/>
      <c r="F504" s="211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</row>
    <row r="505" spans="2:20" ht="14.25">
      <c r="B505" s="211"/>
      <c r="C505" s="211"/>
      <c r="D505" s="211"/>
      <c r="E505" s="211"/>
      <c r="F505" s="211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</row>
    <row r="506" spans="2:20" ht="14.25">
      <c r="B506" s="211"/>
      <c r="C506" s="211"/>
      <c r="D506" s="211"/>
      <c r="E506" s="211"/>
      <c r="F506" s="211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</row>
    <row r="507" spans="2:20" ht="14.25">
      <c r="B507" s="211"/>
      <c r="C507" s="211"/>
      <c r="D507" s="211"/>
      <c r="E507" s="211"/>
      <c r="F507" s="211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</row>
    <row r="508" spans="2:20" ht="14.25">
      <c r="B508" s="211"/>
      <c r="C508" s="211"/>
      <c r="D508" s="211"/>
      <c r="E508" s="211"/>
      <c r="F508" s="211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</row>
    <row r="509" spans="2:20" ht="14.25">
      <c r="B509" s="211"/>
      <c r="C509" s="211"/>
      <c r="D509" s="211"/>
      <c r="E509" s="211"/>
      <c r="F509" s="211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</row>
    <row r="510" spans="2:20" ht="14.25">
      <c r="B510" s="211"/>
      <c r="C510" s="211"/>
      <c r="D510" s="211"/>
      <c r="E510" s="211"/>
      <c r="F510" s="211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</row>
    <row r="511" spans="2:20" ht="14.25">
      <c r="B511" s="211"/>
      <c r="C511" s="211"/>
      <c r="D511" s="211"/>
      <c r="E511" s="211"/>
      <c r="F511" s="211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</row>
    <row r="512" spans="2:20" ht="14.25">
      <c r="B512" s="211"/>
      <c r="C512" s="211"/>
      <c r="D512" s="211"/>
      <c r="E512" s="211"/>
      <c r="F512" s="211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</row>
    <row r="513" spans="2:20" ht="14.25">
      <c r="B513" s="211"/>
      <c r="C513" s="211"/>
      <c r="D513" s="211"/>
      <c r="E513" s="211"/>
      <c r="F513" s="211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</row>
    <row r="514" spans="2:20" ht="14.25">
      <c r="B514" s="211"/>
      <c r="C514" s="211"/>
      <c r="D514" s="211"/>
      <c r="E514" s="211"/>
      <c r="F514" s="211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</row>
    <row r="515" spans="2:20" ht="14.25">
      <c r="B515" s="211"/>
      <c r="C515" s="211"/>
      <c r="D515" s="211"/>
      <c r="E515" s="211"/>
      <c r="F515" s="211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</row>
    <row r="516" spans="2:20" ht="14.25">
      <c r="B516" s="211"/>
      <c r="C516" s="211"/>
      <c r="D516" s="211"/>
      <c r="E516" s="211"/>
      <c r="F516" s="211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</row>
    <row r="517" spans="2:20" ht="14.25">
      <c r="B517" s="211"/>
      <c r="C517" s="211"/>
      <c r="D517" s="211"/>
      <c r="E517" s="211"/>
      <c r="F517" s="211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</row>
    <row r="518" spans="2:20" ht="14.25">
      <c r="B518" s="211"/>
      <c r="C518" s="211"/>
      <c r="D518" s="211"/>
      <c r="E518" s="211"/>
      <c r="F518" s="211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</row>
  </sheetData>
  <sheetProtection password="8BC1" sheet="1" objects="1" scenarios="1"/>
  <mergeCells count="27">
    <mergeCell ref="G2:T2"/>
    <mergeCell ref="I4:T4"/>
    <mergeCell ref="B176:T176"/>
    <mergeCell ref="K148:L148"/>
    <mergeCell ref="K173:L173"/>
    <mergeCell ref="B123:T123"/>
    <mergeCell ref="M134:T134"/>
    <mergeCell ref="M148:T148"/>
    <mergeCell ref="M173:T173"/>
    <mergeCell ref="I10:T10"/>
    <mergeCell ref="I6:T6"/>
    <mergeCell ref="K134:L134"/>
    <mergeCell ref="I39:T39"/>
    <mergeCell ref="I37:T37"/>
    <mergeCell ref="I28:T28"/>
    <mergeCell ref="I8:T8"/>
    <mergeCell ref="I13:T13"/>
    <mergeCell ref="I17:T17"/>
    <mergeCell ref="I15:T15"/>
    <mergeCell ref="I22:T22"/>
    <mergeCell ref="K162:L162"/>
    <mergeCell ref="M162:T162"/>
    <mergeCell ref="M107:S108"/>
    <mergeCell ref="I24:T24"/>
    <mergeCell ref="I26:T26"/>
    <mergeCell ref="B71:I72"/>
    <mergeCell ref="B73:I74"/>
  </mergeCells>
  <conditionalFormatting sqref="B176:T176">
    <cfRule type="expression" priority="1" dxfId="0" stopIfTrue="1">
      <formula>AND(S118&lt;27,D134&gt;=I134,D148&gt;=I148,D162&gt;=I162,D173&gt;=I173)</formula>
    </cfRule>
  </conditionalFormatting>
  <conditionalFormatting sqref="M107:S108">
    <cfRule type="expression" priority="2" dxfId="1" stopIfTrue="1">
      <formula>ISERROR(OR(AND(S105=2,S69&gt;=15*S73),AND(S105=3,S69&gt;=30*S73)))</formula>
    </cfRule>
  </conditionalFormatting>
  <conditionalFormatting sqref="B123:T123">
    <cfRule type="expression" priority="3" dxfId="2" stopIfTrue="1">
      <formula>S121&gt;27</formula>
    </cfRule>
  </conditionalFormatting>
  <conditionalFormatting sqref="S48">
    <cfRule type="expression" priority="4" dxfId="1" stopIfTrue="1">
      <formula>ISERROR($S$48)</formula>
    </cfRule>
    <cfRule type="expression" priority="5" dxfId="3" stopIfTrue="1">
      <formula>R47=1</formula>
    </cfRule>
  </conditionalFormatting>
  <conditionalFormatting sqref="B134:C134 E134 G134:S134">
    <cfRule type="expression" priority="6" dxfId="2" stopIfTrue="1">
      <formula>$D$134&lt;$I$134</formula>
    </cfRule>
  </conditionalFormatting>
  <conditionalFormatting sqref="B148:C148 E148 G148:H148 J148:S148">
    <cfRule type="expression" priority="7" dxfId="2" stopIfTrue="1">
      <formula>$D$148&lt;$I$148</formula>
    </cfRule>
  </conditionalFormatting>
  <conditionalFormatting sqref="B173:C173 E173 G173:H173 J173:S173">
    <cfRule type="expression" priority="8" dxfId="2" stopIfTrue="1">
      <formula>$D$173&lt;$I$173</formula>
    </cfRule>
  </conditionalFormatting>
  <conditionalFormatting sqref="I22:T22">
    <cfRule type="cellIs" priority="9" dxfId="2" operator="equal" stopIfTrue="1">
      <formula>""</formula>
    </cfRule>
  </conditionalFormatting>
  <conditionalFormatting sqref="S30">
    <cfRule type="expression" priority="10" dxfId="1" stopIfTrue="1">
      <formula>ISERROR($S$30)</formula>
    </cfRule>
  </conditionalFormatting>
  <conditionalFormatting sqref="S31">
    <cfRule type="expression" priority="11" dxfId="1" stopIfTrue="1">
      <formula>ISERROR($S$31)</formula>
    </cfRule>
  </conditionalFormatting>
  <conditionalFormatting sqref="S32">
    <cfRule type="expression" priority="12" dxfId="1" stopIfTrue="1">
      <formula>ISERROR($S$32)</formula>
    </cfRule>
  </conditionalFormatting>
  <conditionalFormatting sqref="S41">
    <cfRule type="expression" priority="13" dxfId="1" stopIfTrue="1">
      <formula>ISERROR($S$41)</formula>
    </cfRule>
  </conditionalFormatting>
  <conditionalFormatting sqref="S52:S53">
    <cfRule type="expression" priority="14" dxfId="1" stopIfTrue="1">
      <formula>ISERROR($S$52)</formula>
    </cfRule>
  </conditionalFormatting>
  <conditionalFormatting sqref="S55">
    <cfRule type="expression" priority="15" dxfId="1" stopIfTrue="1">
      <formula>ISERROR($S$55)</formula>
    </cfRule>
  </conditionalFormatting>
  <conditionalFormatting sqref="S56">
    <cfRule type="expression" priority="16" dxfId="1" stopIfTrue="1">
      <formula>ISERROR($S$56)</formula>
    </cfRule>
  </conditionalFormatting>
  <conditionalFormatting sqref="S57">
    <cfRule type="expression" priority="17" dxfId="1" stopIfTrue="1">
      <formula>ISERROR($S$57)</formula>
    </cfRule>
  </conditionalFormatting>
  <conditionalFormatting sqref="S86">
    <cfRule type="expression" priority="18" dxfId="1" stopIfTrue="1">
      <formula>ISERROR($S$86)</formula>
    </cfRule>
  </conditionalFormatting>
  <conditionalFormatting sqref="S90">
    <cfRule type="expression" priority="19" dxfId="1" stopIfTrue="1">
      <formula>ISERROR($S$90)</formula>
    </cfRule>
  </conditionalFormatting>
  <conditionalFormatting sqref="S118">
    <cfRule type="expression" priority="20" dxfId="1" stopIfTrue="1">
      <formula>ISERROR($S$118)</formula>
    </cfRule>
  </conditionalFormatting>
  <conditionalFormatting sqref="D134">
    <cfRule type="expression" priority="21" dxfId="2" stopIfTrue="1">
      <formula>$D$134&lt;$I$134</formula>
    </cfRule>
    <cfRule type="expression" priority="22" dxfId="4" stopIfTrue="1">
      <formula>ISERROR($D$134)</formula>
    </cfRule>
  </conditionalFormatting>
  <conditionalFormatting sqref="F134">
    <cfRule type="expression" priority="23" dxfId="2" stopIfTrue="1">
      <formula>$D$134&lt;$I$134</formula>
    </cfRule>
    <cfRule type="expression" priority="24" dxfId="4" stopIfTrue="1">
      <formula>ISERROR($F$134)</formula>
    </cfRule>
  </conditionalFormatting>
  <conditionalFormatting sqref="S131">
    <cfRule type="expression" priority="25" dxfId="1" stopIfTrue="1">
      <formula>ISERROR($S$131)</formula>
    </cfRule>
  </conditionalFormatting>
  <conditionalFormatting sqref="S132">
    <cfRule type="expression" priority="26" dxfId="1" stopIfTrue="1">
      <formula>ISERROR($S$132)</formula>
    </cfRule>
  </conditionalFormatting>
  <conditionalFormatting sqref="S139">
    <cfRule type="expression" priority="27" dxfId="1" stopIfTrue="1">
      <formula>ISERROR($S$139)</formula>
    </cfRule>
  </conditionalFormatting>
  <conditionalFormatting sqref="S142">
    <cfRule type="expression" priority="28" dxfId="1" stopIfTrue="1">
      <formula>ISERROR($S$142)</formula>
    </cfRule>
  </conditionalFormatting>
  <conditionalFormatting sqref="S143">
    <cfRule type="expression" priority="29" dxfId="1" stopIfTrue="1">
      <formula>ISERROR($S$143)</formula>
    </cfRule>
  </conditionalFormatting>
  <conditionalFormatting sqref="S145">
    <cfRule type="expression" priority="30" dxfId="1" stopIfTrue="1">
      <formula>ISERROR($S$145)</formula>
    </cfRule>
  </conditionalFormatting>
  <conditionalFormatting sqref="S146">
    <cfRule type="expression" priority="31" dxfId="1" stopIfTrue="1">
      <formula>ISERROR($S$146)</formula>
    </cfRule>
  </conditionalFormatting>
  <conditionalFormatting sqref="S167">
    <cfRule type="expression" priority="32" dxfId="1" stopIfTrue="1">
      <formula>ISERROR($S$167)</formula>
    </cfRule>
  </conditionalFormatting>
  <conditionalFormatting sqref="S169">
    <cfRule type="expression" priority="33" dxfId="1" stopIfTrue="1">
      <formula>ISERROR($S$169)</formula>
    </cfRule>
  </conditionalFormatting>
  <conditionalFormatting sqref="S170">
    <cfRule type="expression" priority="34" dxfId="1" stopIfTrue="1">
      <formula>ISERROR($S$170)</formula>
    </cfRule>
  </conditionalFormatting>
  <conditionalFormatting sqref="S171">
    <cfRule type="expression" priority="35" dxfId="1" stopIfTrue="1">
      <formula>ISERROR($S$171)</formula>
    </cfRule>
  </conditionalFormatting>
  <conditionalFormatting sqref="D148">
    <cfRule type="expression" priority="36" dxfId="2" stopIfTrue="1">
      <formula>$D$148&lt;$I$148</formula>
    </cfRule>
    <cfRule type="expression" priority="37" dxfId="4" stopIfTrue="1">
      <formula>ISERROR($D$148)</formula>
    </cfRule>
  </conditionalFormatting>
  <conditionalFormatting sqref="F148">
    <cfRule type="expression" priority="38" dxfId="2" stopIfTrue="1">
      <formula>$D$148&lt;$I$148</formula>
    </cfRule>
    <cfRule type="expression" priority="39" dxfId="4" stopIfTrue="1">
      <formula>ISERROR($F$148)</formula>
    </cfRule>
  </conditionalFormatting>
  <conditionalFormatting sqref="I148">
    <cfRule type="expression" priority="40" dxfId="2" stopIfTrue="1">
      <formula>$D$148&lt;$I$148</formula>
    </cfRule>
    <cfRule type="expression" priority="41" dxfId="4" stopIfTrue="1">
      <formula>ISERROR($I$148)</formula>
    </cfRule>
  </conditionalFormatting>
  <conditionalFormatting sqref="D173">
    <cfRule type="expression" priority="42" dxfId="2" stopIfTrue="1">
      <formula>$D$173&lt;$I$173</formula>
    </cfRule>
    <cfRule type="expression" priority="43" dxfId="4" stopIfTrue="1">
      <formula>ISERROR($D$173)</formula>
    </cfRule>
  </conditionalFormatting>
  <conditionalFormatting sqref="F173">
    <cfRule type="expression" priority="44" dxfId="2" stopIfTrue="1">
      <formula>$D$173&lt;$I$173</formula>
    </cfRule>
    <cfRule type="expression" priority="45" dxfId="4" stopIfTrue="1">
      <formula>ISERROR($F$173)</formula>
    </cfRule>
  </conditionalFormatting>
  <conditionalFormatting sqref="I173">
    <cfRule type="expression" priority="46" dxfId="2" stopIfTrue="1">
      <formula>$D$173&lt;$I$173</formula>
    </cfRule>
    <cfRule type="expression" priority="47" dxfId="4" stopIfTrue="1">
      <formula>ISERROR($I$173)</formula>
    </cfRule>
  </conditionalFormatting>
  <conditionalFormatting sqref="S128:S129 S140 S168 S110:S111 S113:S114 S154">
    <cfRule type="expression" priority="48" dxfId="1" stopIfTrue="1">
      <formula>$S$67=0</formula>
    </cfRule>
  </conditionalFormatting>
  <conditionalFormatting sqref="I24:T24">
    <cfRule type="cellIs" priority="49" dxfId="2" operator="equal" stopIfTrue="1">
      <formula>"--"</formula>
    </cfRule>
    <cfRule type="expression" priority="50" dxfId="2" stopIfTrue="1">
      <formula>ISERROR(VLOOKUP(I24,$W$11:$W$19,1,FALSE))</formula>
    </cfRule>
  </conditionalFormatting>
  <conditionalFormatting sqref="I26">
    <cfRule type="cellIs" priority="51" dxfId="2" operator="equal" stopIfTrue="1">
      <formula>"--"</formula>
    </cfRule>
    <cfRule type="expression" priority="52" dxfId="2" stopIfTrue="1">
      <formula>ISERROR(VLOOKUP(I26,$W$21:$W$27,1,FALSE))</formula>
    </cfRule>
  </conditionalFormatting>
  <conditionalFormatting sqref="I28">
    <cfRule type="cellIs" priority="53" dxfId="2" operator="equal" stopIfTrue="1">
      <formula>"--"</formula>
    </cfRule>
    <cfRule type="expression" priority="54" dxfId="2" stopIfTrue="1">
      <formula>ISERROR(VLOOKUP(I28,$W$31:$W$34,1,FALSE))</formula>
    </cfRule>
  </conditionalFormatting>
  <conditionalFormatting sqref="D48:P48">
    <cfRule type="expression" priority="55" dxfId="5" stopIfTrue="1">
      <formula>$R$47=1</formula>
    </cfRule>
  </conditionalFormatting>
  <conditionalFormatting sqref="C48">
    <cfRule type="expression" priority="56" dxfId="5" stopIfTrue="1">
      <formula>$R$47=2</formula>
    </cfRule>
  </conditionalFormatting>
  <conditionalFormatting sqref="Q48:R48 T48">
    <cfRule type="expression" priority="57" dxfId="3" stopIfTrue="1">
      <formula>$R$47=1</formula>
    </cfRule>
  </conditionalFormatting>
  <conditionalFormatting sqref="C49:O49 Q49:R49 T49">
    <cfRule type="expression" priority="58" dxfId="6" stopIfTrue="1">
      <formula>$R$47=2</formula>
    </cfRule>
  </conditionalFormatting>
  <conditionalFormatting sqref="S49">
    <cfRule type="expression" priority="59" dxfId="7" stopIfTrue="1">
      <formula>$R$47=2</formula>
    </cfRule>
  </conditionalFormatting>
  <conditionalFormatting sqref="S112">
    <cfRule type="expression" priority="60" dxfId="8" stopIfTrue="1">
      <formula>$R$112=TRUE</formula>
    </cfRule>
  </conditionalFormatting>
  <conditionalFormatting sqref="S156">
    <cfRule type="expression" priority="61" dxfId="1" stopIfTrue="1">
      <formula>ISERROR($S$156)</formula>
    </cfRule>
  </conditionalFormatting>
  <conditionalFormatting sqref="J162:T162 E162 G162:H162 B162:C162">
    <cfRule type="expression" priority="62" dxfId="2" stopIfTrue="1">
      <formula>$D$162&lt;$I$162</formula>
    </cfRule>
  </conditionalFormatting>
  <conditionalFormatting sqref="I162">
    <cfRule type="expression" priority="63" dxfId="2" stopIfTrue="1">
      <formula>$D$162&lt;$I$162</formula>
    </cfRule>
    <cfRule type="expression" priority="64" dxfId="4" stopIfTrue="1">
      <formula>ISERROR($I$162)</formula>
    </cfRule>
  </conditionalFormatting>
  <conditionalFormatting sqref="F162">
    <cfRule type="expression" priority="65" dxfId="2" stopIfTrue="1">
      <formula>$D$162&lt;$I$162</formula>
    </cfRule>
    <cfRule type="expression" priority="66" dxfId="4" stopIfTrue="1">
      <formula>ISERROR($F$162)</formula>
    </cfRule>
  </conditionalFormatting>
  <conditionalFormatting sqref="B42:T42">
    <cfRule type="expression" priority="67" dxfId="9" stopIfTrue="1">
      <formula>OR($I$37&lt;&gt;"Jiná návrhová malta (mimo sortiment HELUZ)",$W$42="Malta pro tenké spáry (0,5 - 3 mm)")</formula>
    </cfRule>
  </conditionalFormatting>
  <conditionalFormatting sqref="I39:T39">
    <cfRule type="cellIs" priority="68" dxfId="2" operator="equal" stopIfTrue="1">
      <formula>"--"</formula>
    </cfRule>
    <cfRule type="expression" priority="69" dxfId="2" stopIfTrue="1">
      <formula>ISERROR(VLOOKUP(I39,$W$41:$W$44,1,FALSE))</formula>
    </cfRule>
  </conditionalFormatting>
  <conditionalFormatting sqref="S119">
    <cfRule type="expression" priority="70" dxfId="1" stopIfTrue="1">
      <formula>OR(ISERROR($S$119),S119=0)</formula>
    </cfRule>
  </conditionalFormatting>
  <conditionalFormatting sqref="S120">
    <cfRule type="expression" priority="71" dxfId="1" stopIfTrue="1">
      <formula>ISERROR($S$120)</formula>
    </cfRule>
  </conditionalFormatting>
  <conditionalFormatting sqref="S121">
    <cfRule type="expression" priority="72" dxfId="1" stopIfTrue="1">
      <formula>ISERROR($S$121)</formula>
    </cfRule>
  </conditionalFormatting>
  <conditionalFormatting sqref="S157">
    <cfRule type="expression" priority="73" dxfId="1" stopIfTrue="1">
      <formula>ISERROR($S$157)</formula>
    </cfRule>
  </conditionalFormatting>
  <conditionalFormatting sqref="S159">
    <cfRule type="expression" priority="74" dxfId="1" stopIfTrue="1">
      <formula>ISERROR($S$159)</formula>
    </cfRule>
  </conditionalFormatting>
  <conditionalFormatting sqref="S160">
    <cfRule type="expression" priority="75" dxfId="1" stopIfTrue="1">
      <formula>ISERROR($S$160)</formula>
    </cfRule>
  </conditionalFormatting>
  <conditionalFormatting sqref="D162">
    <cfRule type="expression" priority="76" dxfId="2" stopIfTrue="1">
      <formula>$D$162&lt;$I$162</formula>
    </cfRule>
    <cfRule type="expression" priority="77" dxfId="4" stopIfTrue="1">
      <formula>ISERROR($D$162)</formula>
    </cfRule>
  </conditionalFormatting>
  <conditionalFormatting sqref="T75">
    <cfRule type="expression" priority="78" dxfId="10" stopIfTrue="1">
      <formula>$R$75=TRUE</formula>
    </cfRule>
  </conditionalFormatting>
  <conditionalFormatting sqref="S75">
    <cfRule type="expression" priority="79" dxfId="11" stopIfTrue="1">
      <formula>$R$75=TRUE</formula>
    </cfRule>
  </conditionalFormatting>
  <conditionalFormatting sqref="S73">
    <cfRule type="expression" priority="80" dxfId="1" stopIfTrue="1">
      <formula>ISERROR($S$73)</formula>
    </cfRule>
    <cfRule type="cellIs" priority="81" dxfId="1" operator="equal" stopIfTrue="1">
      <formula>0</formula>
    </cfRule>
  </conditionalFormatting>
  <conditionalFormatting sqref="S117">
    <cfRule type="expression" priority="82" dxfId="1" stopIfTrue="1">
      <formula>ISERROR($S$117)</formula>
    </cfRule>
    <cfRule type="cellIs" priority="83" dxfId="1" operator="equal" stopIfTrue="1">
      <formula>0</formula>
    </cfRule>
  </conditionalFormatting>
  <conditionalFormatting sqref="S130">
    <cfRule type="expression" priority="84" dxfId="1" stopIfTrue="1">
      <formula>ISERROR($S$130)</formula>
    </cfRule>
    <cfRule type="cellIs" priority="85" dxfId="1" operator="equal" stopIfTrue="1">
      <formula>0</formula>
    </cfRule>
  </conditionalFormatting>
  <dataValidations count="16">
    <dataValidation type="decimal" operator="greaterThan" allowBlank="1" showInputMessage="1" showErrorMessage="1" errorTitle="HELUZ stěna a pilíř v1.1" error="Zadejte prosím kladné číslo." sqref="S112">
      <formula1>0</formula1>
    </dataValidation>
    <dataValidation type="list" allowBlank="1" showInputMessage="1" showErrorMessage="1" sqref="I36:L36 I40:L40 I25:L25 I29:L29 I27:L27">
      <formula1>$W$17:$W$25</formula1>
    </dataValidation>
    <dataValidation type="list" allowBlank="1" showInputMessage="1" showErrorMessage="1" sqref="I23:L23">
      <formula1>$W$5:$W$9</formula1>
    </dataValidation>
    <dataValidation type="list" allowBlank="1" showInputMessage="1" showErrorMessage="1" errorTitle="HELUZ stěna a pilíř v1.1" error="Vyberte prosím položku ze seznamu." sqref="I24:T24">
      <formula1>$W$11:$W$19</formula1>
    </dataValidation>
    <dataValidation type="list" allowBlank="1" showInputMessage="1" showErrorMessage="1" errorTitle="HELUZ stěna a pilíř v1.1" error="Vyberte prosím položku ze seznamu." sqref="I22:T22">
      <formula1>$W$5:$W$9</formula1>
    </dataValidation>
    <dataValidation type="decimal" operator="greaterThan" allowBlank="1" showErrorMessage="1" errorTitle="HELUZ stěna a pilíř v1.1" error="Zadejte prosím kladné číslo." sqref="S71">
      <formula1>0</formula1>
    </dataValidation>
    <dataValidation type="decimal" operator="greaterThanOrEqual" allowBlank="1" showInputMessage="1" showErrorMessage="1" errorTitle="HELUZ stěna a pilíř v1.1" error="Zadejte prosím nezáporné číslo." sqref="S42">
      <formula1>0</formula1>
    </dataValidation>
    <dataValidation type="list" allowBlank="1" showInputMessage="1" showErrorMessage="1" errorTitle="HELUZ stěna a pilíř v1.1" error="Vyberte prosím položku ze seznamu." sqref="I39:T39">
      <formula1>$W$41:$W$44</formula1>
    </dataValidation>
    <dataValidation allowBlank="1" showInputMessage="1" sqref="I37:T37"/>
    <dataValidation type="decimal" operator="greaterThanOrEqual" allowBlank="1" showErrorMessage="1" errorTitle="HELUZ stěna a pilíř v1.1" error="Zadejte prosím nezáporné číslo." sqref="S81">
      <formula1>0</formula1>
    </dataValidation>
    <dataValidation operator="greaterThan" allowBlank="1" showInputMessage="1" showErrorMessage="1" sqref="S73"/>
    <dataValidation type="list" allowBlank="1" showInputMessage="1" showErrorMessage="1" errorTitle="HELUZ stěna a pilíř v1.1" error="Vyberte prosím položku ze seznamu." sqref="I26:T26">
      <formula1>$W$21:$W$27</formula1>
    </dataValidation>
    <dataValidation type="list" allowBlank="1" showInputMessage="1" showErrorMessage="1" errorTitle="HELUZ stěna a pilíř v1.1" error="Vyberte prosím položku ze seznamu." sqref="I28:T28">
      <formula1>$W$31:$W$34</formula1>
    </dataValidation>
    <dataValidation type="decimal" operator="greaterThan" allowBlank="1" showInputMessage="1" showErrorMessage="1" errorTitle="HELUZ stěna a pilíř v1.1" error="Zadejte prosím kladné číslo." sqref="S67 S69 S75">
      <formula1>0</formula1>
    </dataValidation>
    <dataValidation type="decimal" operator="greaterThanOrEqual" allowBlank="1" showErrorMessage="1" errorTitle="HELUZ stěna a pilíř v1.1" error="Zadejte prosím nezáporné číslo (absolutní hodnotu velikosti momentu)." sqref="S83 S87 S91">
      <formula1>0</formula1>
    </dataValidation>
    <dataValidation type="decimal" operator="greaterThan" allowBlank="1" showInputMessage="1" showErrorMessage="1" errorTitle="HELUZ stěna a pilíř v1.1" error="Zadejte prosím kladné číslo." sqref="S49">
      <formula1>0</formula1>
    </dataValidation>
  </dataValidations>
  <printOptions horizontalCentered="1"/>
  <pageMargins left="0.7874015748031497" right="0.7874015748031497" top="0.5905511811023623" bottom="1.1811023622047245" header="0" footer="0.5905511811023623"/>
  <pageSetup fitToHeight="0" fitToWidth="1" horizontalDpi="600" verticalDpi="600" orientation="portrait" paperSize="9" scale="79" r:id="rId8"/>
  <headerFooter alignWithMargins="0">
    <oddFooter>&amp;C&amp;G</oddFooter>
  </headerFooter>
  <rowBreaks count="2" manualBreakCount="2">
    <brk id="76" min="1" max="19" man="1"/>
    <brk id="124" min="1" max="19" man="1"/>
  </rowBreaks>
  <drawing r:id="rId6"/>
  <legacyDrawing r:id="rId5"/>
  <legacyDrawingHF r:id="rId7"/>
  <oleObjects>
    <oleObject progId="Equation.DSMT4" shapeId="1873108" r:id="rId1"/>
    <oleObject progId="Equation.DSMT4" shapeId="1951207" r:id="rId2"/>
    <oleObject progId="Equation.DSMT4" shapeId="372189" r:id="rId3"/>
    <oleObject progId="Equation.DSMT4" shapeId="37219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6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1" customWidth="1"/>
    <col min="2" max="2" width="25.75390625" style="3" customWidth="1"/>
    <col min="3" max="3" width="41.75390625" style="1" customWidth="1"/>
    <col min="4" max="4" width="23.25390625" style="1" bestFit="1" customWidth="1"/>
    <col min="5" max="5" width="6.75390625" style="1" customWidth="1"/>
    <col min="6" max="6" width="6.75390625" style="2" customWidth="1"/>
    <col min="7" max="7" width="6.75390625" style="1" customWidth="1"/>
    <col min="8" max="9" width="12.75390625" style="1" customWidth="1"/>
    <col min="10" max="10" width="8.75390625" style="1" customWidth="1"/>
    <col min="11" max="11" width="10.75390625" style="1" customWidth="1"/>
    <col min="12" max="12" width="9.125" style="93" hidden="1" customWidth="1"/>
    <col min="13" max="13" width="9.125" style="76" hidden="1" customWidth="1"/>
    <col min="14" max="31" width="5.75390625" style="76" hidden="1" customWidth="1"/>
    <col min="32" max="32" width="5.75390625" style="76" customWidth="1"/>
    <col min="33" max="46" width="9.125" style="76" customWidth="1"/>
    <col min="47" max="68" width="9.125" style="77" customWidth="1"/>
    <col min="69" max="16384" width="9.125" style="1" customWidth="1"/>
  </cols>
  <sheetData>
    <row r="1" ht="9" customHeight="1" thickBot="1"/>
    <row r="2" spans="2:11" ht="20.25">
      <c r="B2" s="258" t="s">
        <v>154</v>
      </c>
      <c r="C2" s="259"/>
      <c r="D2" s="259"/>
      <c r="E2" s="259"/>
      <c r="F2" s="259"/>
      <c r="G2" s="259"/>
      <c r="H2" s="259"/>
      <c r="I2" s="259"/>
      <c r="J2" s="259"/>
      <c r="K2" s="251"/>
    </row>
    <row r="3" spans="2:11" ht="16.5" customHeight="1" thickBot="1">
      <c r="B3" s="45"/>
      <c r="C3" s="46"/>
      <c r="D3" s="46"/>
      <c r="F3" s="134" t="s">
        <v>155</v>
      </c>
      <c r="G3" s="133" t="s">
        <v>98</v>
      </c>
      <c r="I3" s="46"/>
      <c r="J3" s="46"/>
      <c r="K3" s="47"/>
    </row>
    <row r="4" spans="2:14" ht="17.25" customHeight="1">
      <c r="B4" s="292" t="s">
        <v>71</v>
      </c>
      <c r="C4" s="294" t="s">
        <v>152</v>
      </c>
      <c r="D4" s="294" t="s">
        <v>153</v>
      </c>
      <c r="E4" s="296" t="s">
        <v>95</v>
      </c>
      <c r="F4" s="296"/>
      <c r="G4" s="296"/>
      <c r="H4" s="297" t="s">
        <v>139</v>
      </c>
      <c r="I4" s="297" t="s">
        <v>96</v>
      </c>
      <c r="J4" s="297" t="s">
        <v>97</v>
      </c>
      <c r="K4" s="290" t="s">
        <v>77</v>
      </c>
      <c r="L4" s="299" t="s">
        <v>306</v>
      </c>
      <c r="N4" s="76" t="s">
        <v>118</v>
      </c>
    </row>
    <row r="5" spans="2:12" ht="17.25" customHeight="1" thickBot="1">
      <c r="B5" s="293"/>
      <c r="C5" s="295"/>
      <c r="D5" s="295"/>
      <c r="E5" s="28" t="s">
        <v>74</v>
      </c>
      <c r="F5" s="29" t="s">
        <v>75</v>
      </c>
      <c r="G5" s="28" t="s">
        <v>76</v>
      </c>
      <c r="H5" s="298"/>
      <c r="I5" s="298"/>
      <c r="J5" s="298"/>
      <c r="K5" s="291"/>
      <c r="L5" s="299"/>
    </row>
    <row r="6" spans="2:17" ht="12.75">
      <c r="B6" s="30"/>
      <c r="C6" s="252" t="s">
        <v>6</v>
      </c>
      <c r="D6" s="31" t="s">
        <v>149</v>
      </c>
      <c r="E6" s="31">
        <v>247</v>
      </c>
      <c r="F6" s="32">
        <v>500</v>
      </c>
      <c r="G6" s="31">
        <v>249</v>
      </c>
      <c r="H6" s="31">
        <v>341</v>
      </c>
      <c r="I6" s="31">
        <v>8</v>
      </c>
      <c r="J6" s="33">
        <v>1.155</v>
      </c>
      <c r="K6" s="34">
        <v>3</v>
      </c>
      <c r="L6" s="94">
        <v>1</v>
      </c>
      <c r="N6" s="78" t="str">
        <f>B20</f>
        <v>Obvodové zdivo</v>
      </c>
      <c r="O6" s="78" t="str">
        <f>B44</f>
        <v>Vnitřní nosné zdivo</v>
      </c>
      <c r="P6" s="78" t="str">
        <f>B55</f>
        <v>Zvukověizolační zdivo</v>
      </c>
      <c r="Q6" s="79" t="str">
        <f>B63</f>
        <v>Maloformátové cihly</v>
      </c>
    </row>
    <row r="7" spans="2:17" ht="12.75">
      <c r="B7" s="43"/>
      <c r="C7" s="285"/>
      <c r="D7" s="4" t="s">
        <v>150</v>
      </c>
      <c r="E7" s="4">
        <v>247</v>
      </c>
      <c r="F7" s="5">
        <v>440</v>
      </c>
      <c r="G7" s="4">
        <v>249</v>
      </c>
      <c r="H7" s="4">
        <v>305</v>
      </c>
      <c r="I7" s="4">
        <v>8</v>
      </c>
      <c r="J7" s="6">
        <v>1.155</v>
      </c>
      <c r="K7" s="14">
        <v>3</v>
      </c>
      <c r="L7" s="94">
        <v>1</v>
      </c>
      <c r="N7" s="76" t="str">
        <f>C6</f>
        <v>Cihly HELUZ FAMILY pro pasivní a nízkoenergetické stavění</v>
      </c>
      <c r="O7" s="76" t="str">
        <f>C43</f>
        <v>Cihly HELUZ pro zdivo tloušťky 25 cm (vnitřní)</v>
      </c>
      <c r="P7" s="76" t="str">
        <f>C55</f>
        <v>Cihly HELUZ akustické zalévané</v>
      </c>
      <c r="Q7" s="76" t="str">
        <f>C63</f>
        <v>Cihly HELUZ pro zdivo tloušťky 29 cm</v>
      </c>
    </row>
    <row r="8" spans="2:17" ht="12.75">
      <c r="B8" s="43"/>
      <c r="C8" s="286"/>
      <c r="D8" s="4" t="s">
        <v>151</v>
      </c>
      <c r="E8" s="4">
        <v>247</v>
      </c>
      <c r="F8" s="5">
        <v>380</v>
      </c>
      <c r="G8" s="4">
        <v>249</v>
      </c>
      <c r="H8" s="4">
        <v>269</v>
      </c>
      <c r="I8" s="4">
        <v>8</v>
      </c>
      <c r="J8" s="6">
        <v>1.155</v>
      </c>
      <c r="K8" s="14">
        <v>3</v>
      </c>
      <c r="L8" s="94">
        <v>1</v>
      </c>
      <c r="N8" s="76" t="str">
        <f>C9</f>
        <v>Cihly HELUZ pro zdivo tloušťky 49 cm</v>
      </c>
      <c r="O8" s="76" t="str">
        <f>C45</f>
        <v>Cihly HELUZ pro zdivo tloušťky 24 cm</v>
      </c>
      <c r="P8" s="76" t="str">
        <f>C59</f>
        <v>Cihly HELUZ akustické těžké</v>
      </c>
      <c r="Q8" s="76" t="str">
        <f>C64</f>
        <v>Cihly HELUZ pro zdivo tloušťky 24 cm (MF)</v>
      </c>
    </row>
    <row r="9" spans="2:17" ht="12.75">
      <c r="B9" s="43"/>
      <c r="C9" s="287" t="s">
        <v>7</v>
      </c>
      <c r="D9" s="4" t="s">
        <v>8</v>
      </c>
      <c r="E9" s="4">
        <v>247</v>
      </c>
      <c r="F9" s="5">
        <v>490</v>
      </c>
      <c r="G9" s="4">
        <v>249</v>
      </c>
      <c r="H9" s="4">
        <v>350</v>
      </c>
      <c r="I9" s="7" t="s">
        <v>91</v>
      </c>
      <c r="J9" s="6">
        <v>1.155</v>
      </c>
      <c r="K9" s="14">
        <v>3</v>
      </c>
      <c r="L9" s="94">
        <v>2</v>
      </c>
      <c r="N9" s="76" t="str">
        <f>C11</f>
        <v>Cihly HELUZ pro zdivo tloušťky 44 cm</v>
      </c>
      <c r="O9" s="76" t="str">
        <f>C49</f>
        <v>Cihly HELUZ pro zdivo tloušťky 20 cm</v>
      </c>
      <c r="P9" s="135" t="s">
        <v>309</v>
      </c>
      <c r="Q9" s="76" t="str">
        <f>C65</f>
        <v>Cihly HELUZ pro zdivo tloušťky 14 cm (MF)</v>
      </c>
    </row>
    <row r="10" spans="2:17" ht="12.75">
      <c r="B10" s="43"/>
      <c r="C10" s="288"/>
      <c r="D10" s="4" t="s">
        <v>9</v>
      </c>
      <c r="E10" s="4">
        <v>247</v>
      </c>
      <c r="F10" s="5">
        <v>490</v>
      </c>
      <c r="G10" s="4">
        <v>238</v>
      </c>
      <c r="H10" s="4">
        <v>359</v>
      </c>
      <c r="I10" s="7" t="s">
        <v>91</v>
      </c>
      <c r="J10" s="6">
        <v>1.143</v>
      </c>
      <c r="K10" s="14">
        <v>3</v>
      </c>
      <c r="L10" s="94">
        <v>3</v>
      </c>
      <c r="N10" s="76" t="str">
        <f>C17</f>
        <v>Cihly HELUZ pro zdivo tloušťky 40 cm</v>
      </c>
      <c r="O10" s="76" t="str">
        <f>C51</f>
        <v>Cihly HELUZ pro zdivo tloušťky 17,5 cm</v>
      </c>
      <c r="P10" s="135" t="s">
        <v>309</v>
      </c>
      <c r="Q10" s="135" t="s">
        <v>309</v>
      </c>
    </row>
    <row r="11" spans="2:17" ht="12.75">
      <c r="B11" s="43"/>
      <c r="C11" s="287" t="s">
        <v>10</v>
      </c>
      <c r="D11" s="4" t="s">
        <v>11</v>
      </c>
      <c r="E11" s="4">
        <v>247</v>
      </c>
      <c r="F11" s="5">
        <v>440</v>
      </c>
      <c r="G11" s="4">
        <v>249</v>
      </c>
      <c r="H11" s="4">
        <v>318</v>
      </c>
      <c r="I11" s="7" t="s">
        <v>91</v>
      </c>
      <c r="J11" s="6">
        <v>1.155</v>
      </c>
      <c r="K11" s="14">
        <v>3</v>
      </c>
      <c r="L11" s="94">
        <v>2</v>
      </c>
      <c r="N11" s="76" t="str">
        <f>C23</f>
        <v>Cihly HELUZ pro zdivo tloušťky 38 cm</v>
      </c>
      <c r="O11" s="76" t="str">
        <f>C53</f>
        <v>Cihly HELUZ pro zdivo tloušťky 14 cm</v>
      </c>
      <c r="P11" s="135" t="s">
        <v>309</v>
      </c>
      <c r="Q11" s="135" t="s">
        <v>309</v>
      </c>
    </row>
    <row r="12" spans="2:17" ht="12.75">
      <c r="B12" s="43"/>
      <c r="C12" s="289"/>
      <c r="D12" s="4" t="s">
        <v>12</v>
      </c>
      <c r="E12" s="4">
        <v>247</v>
      </c>
      <c r="F12" s="5">
        <v>440</v>
      </c>
      <c r="G12" s="4">
        <v>249</v>
      </c>
      <c r="H12" s="4">
        <v>344</v>
      </c>
      <c r="I12" s="7" t="s">
        <v>92</v>
      </c>
      <c r="J12" s="6">
        <v>1.155</v>
      </c>
      <c r="K12" s="14">
        <v>3</v>
      </c>
      <c r="L12" s="94">
        <v>4</v>
      </c>
      <c r="N12" s="76" t="str">
        <f>C29</f>
        <v>Cihly HELUZ pro zdivo tloušťky 36,5 cm</v>
      </c>
      <c r="O12" s="135" t="s">
        <v>309</v>
      </c>
      <c r="P12" s="135" t="s">
        <v>309</v>
      </c>
      <c r="Q12" s="135" t="s">
        <v>309</v>
      </c>
    </row>
    <row r="13" spans="2:17" ht="12.75">
      <c r="B13" s="43"/>
      <c r="C13" s="289"/>
      <c r="D13" s="4" t="s">
        <v>13</v>
      </c>
      <c r="E13" s="4">
        <v>247</v>
      </c>
      <c r="F13" s="5">
        <v>440</v>
      </c>
      <c r="G13" s="4">
        <v>249</v>
      </c>
      <c r="H13" s="4">
        <v>349</v>
      </c>
      <c r="I13" s="4">
        <v>15</v>
      </c>
      <c r="J13" s="6">
        <v>1.155</v>
      </c>
      <c r="K13" s="14">
        <v>2</v>
      </c>
      <c r="L13" s="94">
        <v>5</v>
      </c>
      <c r="N13" s="76" t="str">
        <f>C35</f>
        <v>Cihly HELUZ pro zdivo tloušťky 30 cm</v>
      </c>
      <c r="O13" s="135" t="s">
        <v>309</v>
      </c>
      <c r="P13" s="135" t="s">
        <v>309</v>
      </c>
      <c r="Q13" s="135" t="s">
        <v>309</v>
      </c>
    </row>
    <row r="14" spans="2:17" ht="12.75">
      <c r="B14" s="43"/>
      <c r="C14" s="289"/>
      <c r="D14" s="4" t="s">
        <v>14</v>
      </c>
      <c r="E14" s="4">
        <v>247</v>
      </c>
      <c r="F14" s="5">
        <v>440</v>
      </c>
      <c r="G14" s="4">
        <v>238</v>
      </c>
      <c r="H14" s="4">
        <v>327</v>
      </c>
      <c r="I14" s="7" t="s">
        <v>91</v>
      </c>
      <c r="J14" s="6">
        <v>1.143</v>
      </c>
      <c r="K14" s="14">
        <v>3</v>
      </c>
      <c r="L14" s="94">
        <v>3</v>
      </c>
      <c r="N14" s="76" t="str">
        <f>C41</f>
        <v>Cihly HELUZ pro zdivo tloušťky 25 cm (obvodové)</v>
      </c>
      <c r="O14" s="135" t="s">
        <v>309</v>
      </c>
      <c r="P14" s="135" t="s">
        <v>309</v>
      </c>
      <c r="Q14" s="135" t="s">
        <v>309</v>
      </c>
    </row>
    <row r="15" spans="2:12" ht="12.75">
      <c r="B15" s="43"/>
      <c r="C15" s="289"/>
      <c r="D15" s="4" t="s">
        <v>15</v>
      </c>
      <c r="E15" s="4">
        <v>247</v>
      </c>
      <c r="F15" s="5">
        <v>440</v>
      </c>
      <c r="G15" s="4">
        <v>238</v>
      </c>
      <c r="H15" s="4">
        <v>352</v>
      </c>
      <c r="I15" s="7" t="s">
        <v>92</v>
      </c>
      <c r="J15" s="6">
        <v>1.143</v>
      </c>
      <c r="K15" s="14">
        <v>3</v>
      </c>
      <c r="L15" s="94">
        <v>6</v>
      </c>
    </row>
    <row r="16" spans="2:31" ht="12.75">
      <c r="B16" s="43"/>
      <c r="C16" s="288"/>
      <c r="D16" s="4" t="s">
        <v>16</v>
      </c>
      <c r="E16" s="4">
        <v>247</v>
      </c>
      <c r="F16" s="5">
        <v>440</v>
      </c>
      <c r="G16" s="4">
        <v>238</v>
      </c>
      <c r="H16" s="4">
        <v>396</v>
      </c>
      <c r="I16" s="4">
        <v>15</v>
      </c>
      <c r="J16" s="6">
        <v>1.143</v>
      </c>
      <c r="K16" s="14">
        <v>2</v>
      </c>
      <c r="L16" s="94">
        <v>7</v>
      </c>
      <c r="N16" s="76" t="str">
        <f>C6</f>
        <v>Cihly HELUZ FAMILY pro pasivní a nízkoenergetické stavění</v>
      </c>
      <c r="O16" s="76" t="str">
        <f>C9</f>
        <v>Cihly HELUZ pro zdivo tloušťky 49 cm</v>
      </c>
      <c r="P16" s="76" t="str">
        <f>C11</f>
        <v>Cihly HELUZ pro zdivo tloušťky 44 cm</v>
      </c>
      <c r="Q16" s="76" t="str">
        <f>C17</f>
        <v>Cihly HELUZ pro zdivo tloušťky 40 cm</v>
      </c>
      <c r="R16" s="76" t="str">
        <f>C23</f>
        <v>Cihly HELUZ pro zdivo tloušťky 38 cm</v>
      </c>
      <c r="S16" s="76" t="str">
        <f>C29</f>
        <v>Cihly HELUZ pro zdivo tloušťky 36,5 cm</v>
      </c>
      <c r="T16" s="76" t="str">
        <f>C35</f>
        <v>Cihly HELUZ pro zdivo tloušťky 30 cm</v>
      </c>
      <c r="U16" s="76" t="str">
        <f>C41</f>
        <v>Cihly HELUZ pro zdivo tloušťky 25 cm (obvodové)</v>
      </c>
      <c r="V16" s="76" t="str">
        <f>C43</f>
        <v>Cihly HELUZ pro zdivo tloušťky 25 cm (vnitřní)</v>
      </c>
      <c r="W16" s="76" t="str">
        <f>C45</f>
        <v>Cihly HELUZ pro zdivo tloušťky 24 cm</v>
      </c>
      <c r="X16" s="76" t="str">
        <f>C49</f>
        <v>Cihly HELUZ pro zdivo tloušťky 20 cm</v>
      </c>
      <c r="Y16" s="76" t="str">
        <f>C51</f>
        <v>Cihly HELUZ pro zdivo tloušťky 17,5 cm</v>
      </c>
      <c r="Z16" s="76" t="str">
        <f>C53</f>
        <v>Cihly HELUZ pro zdivo tloušťky 14 cm</v>
      </c>
      <c r="AA16" s="76" t="str">
        <f>C55</f>
        <v>Cihly HELUZ akustické zalévané</v>
      </c>
      <c r="AB16" s="76" t="str">
        <f>C59</f>
        <v>Cihly HELUZ akustické těžké</v>
      </c>
      <c r="AC16" s="76" t="str">
        <f>C63</f>
        <v>Cihly HELUZ pro zdivo tloušťky 29 cm</v>
      </c>
      <c r="AD16" s="76" t="str">
        <f>C64</f>
        <v>Cihly HELUZ pro zdivo tloušťky 24 cm (MF)</v>
      </c>
      <c r="AE16" s="76" t="str">
        <f>C65</f>
        <v>Cihly HELUZ pro zdivo tloušťky 14 cm (MF)</v>
      </c>
    </row>
    <row r="17" spans="2:31" ht="12.75">
      <c r="B17" s="43"/>
      <c r="C17" s="287" t="s">
        <v>17</v>
      </c>
      <c r="D17" s="4" t="s">
        <v>18</v>
      </c>
      <c r="E17" s="4">
        <v>247</v>
      </c>
      <c r="F17" s="5">
        <v>400</v>
      </c>
      <c r="G17" s="4">
        <v>249</v>
      </c>
      <c r="H17" s="4">
        <v>305</v>
      </c>
      <c r="I17" s="7" t="s">
        <v>91</v>
      </c>
      <c r="J17" s="6">
        <v>1.155</v>
      </c>
      <c r="K17" s="14">
        <v>3</v>
      </c>
      <c r="L17" s="94">
        <v>2</v>
      </c>
      <c r="N17" s="76" t="str">
        <f>D6</f>
        <v>FAMILY 50 broušená</v>
      </c>
      <c r="O17" s="76" t="str">
        <f>D9</f>
        <v>THERMO STI 49 broušená</v>
      </c>
      <c r="P17" s="76" t="str">
        <f aca="true" t="shared" si="0" ref="P17:P22">D11</f>
        <v>THERMO STI 44 broušená</v>
      </c>
      <c r="Q17" s="76" t="str">
        <f aca="true" t="shared" si="1" ref="Q17:Q22">D17</f>
        <v>STI 40 broušená</v>
      </c>
      <c r="R17" s="76" t="str">
        <f aca="true" t="shared" si="2" ref="R17:R22">D23</f>
        <v>STI 38 broušená</v>
      </c>
      <c r="S17" s="76" t="str">
        <f aca="true" t="shared" si="3" ref="S17:S22">D29</f>
        <v>STI 36,5 broušená</v>
      </c>
      <c r="T17" s="76" t="str">
        <f aca="true" t="shared" si="4" ref="T17:T22">D35</f>
        <v>STI 30 broušená</v>
      </c>
      <c r="U17" s="76" t="str">
        <f>D41</f>
        <v>STI 25 broušená</v>
      </c>
      <c r="V17" s="76" t="str">
        <f>D43</f>
        <v>P15 25 broušená</v>
      </c>
      <c r="W17" s="76" t="str">
        <f>D45</f>
        <v>24 broušená</v>
      </c>
      <c r="X17" s="76" t="str">
        <f>D49</f>
        <v>20 broušená</v>
      </c>
      <c r="Y17" s="76" t="str">
        <f>D51</f>
        <v>17,5 broušená</v>
      </c>
      <c r="Z17" s="76" t="str">
        <f>D53</f>
        <v>14 broušená</v>
      </c>
      <c r="AA17" s="76" t="str">
        <f>D55</f>
        <v>AKU 30 zalévaná</v>
      </c>
      <c r="AB17" s="76" t="str">
        <f>D59</f>
        <v>AKU 30 těžká</v>
      </c>
      <c r="AC17" s="76" t="str">
        <f>D63</f>
        <v>CV 14</v>
      </c>
      <c r="AD17" s="76" t="str">
        <f>D64</f>
        <v>CDm (2 DF)</v>
      </c>
      <c r="AE17" s="76" t="str">
        <f>D65</f>
        <v>CV 14</v>
      </c>
    </row>
    <row r="18" spans="2:31" ht="12.75">
      <c r="B18" s="43"/>
      <c r="C18" s="289"/>
      <c r="D18" s="4" t="s">
        <v>19</v>
      </c>
      <c r="E18" s="4">
        <v>247</v>
      </c>
      <c r="F18" s="5">
        <v>400</v>
      </c>
      <c r="G18" s="4">
        <v>249</v>
      </c>
      <c r="H18" s="4">
        <v>309</v>
      </c>
      <c r="I18" s="4">
        <v>10</v>
      </c>
      <c r="J18" s="6">
        <v>1.155</v>
      </c>
      <c r="K18" s="14">
        <v>3</v>
      </c>
      <c r="L18" s="94">
        <v>4</v>
      </c>
      <c r="N18" s="76" t="str">
        <f>D7</f>
        <v>FAMILY 44 broušená</v>
      </c>
      <c r="O18" s="76" t="str">
        <f>D10</f>
        <v>THERMO STI 49</v>
      </c>
      <c r="P18" s="76" t="str">
        <f t="shared" si="0"/>
        <v>PLUS 44 broušená</v>
      </c>
      <c r="Q18" s="76" t="str">
        <f t="shared" si="1"/>
        <v>PLUS 40 broušená</v>
      </c>
      <c r="R18" s="76" t="str">
        <f t="shared" si="2"/>
        <v>PLUS 38 broušená</v>
      </c>
      <c r="S18" s="76" t="str">
        <f t="shared" si="3"/>
        <v>PLUS 36,5 broušená</v>
      </c>
      <c r="T18" s="76" t="str">
        <f t="shared" si="4"/>
        <v>PLUS 30 broušená</v>
      </c>
      <c r="U18" s="76" t="str">
        <f>D42</f>
        <v>STI 25</v>
      </c>
      <c r="V18" s="76" t="str">
        <f>D44</f>
        <v>P15 25</v>
      </c>
      <c r="W18" s="76" t="str">
        <f>D46</f>
        <v>P15 24 broušená</v>
      </c>
      <c r="X18" s="76" t="str">
        <f>D50</f>
        <v>20</v>
      </c>
      <c r="Y18" s="76" t="str">
        <f>D52</f>
        <v>17,5</v>
      </c>
      <c r="Z18" s="76" t="str">
        <f>D54</f>
        <v>14</v>
      </c>
      <c r="AA18" s="76" t="str">
        <f>D56</f>
        <v>AKU 24 zalévaná</v>
      </c>
      <c r="AB18" s="76" t="str">
        <f>D60</f>
        <v>AKU 25 těžká</v>
      </c>
      <c r="AC18" s="135" t="s">
        <v>309</v>
      </c>
      <c r="AD18" s="135" t="s">
        <v>309</v>
      </c>
      <c r="AE18" s="135" t="s">
        <v>309</v>
      </c>
    </row>
    <row r="19" spans="2:31" ht="12.75">
      <c r="B19" s="43"/>
      <c r="C19" s="289"/>
      <c r="D19" s="4" t="s">
        <v>20</v>
      </c>
      <c r="E19" s="4">
        <v>247</v>
      </c>
      <c r="F19" s="5">
        <v>400</v>
      </c>
      <c r="G19" s="4">
        <v>249</v>
      </c>
      <c r="H19" s="4">
        <v>333</v>
      </c>
      <c r="I19" s="4">
        <v>15</v>
      </c>
      <c r="J19" s="6">
        <v>1.155</v>
      </c>
      <c r="K19" s="14">
        <v>2</v>
      </c>
      <c r="L19" s="94">
        <v>5</v>
      </c>
      <c r="N19" s="76" t="str">
        <f>D8</f>
        <v>FAMILY 38 broušená</v>
      </c>
      <c r="O19" s="135" t="s">
        <v>309</v>
      </c>
      <c r="P19" s="76" t="str">
        <f t="shared" si="0"/>
        <v>P15 44 broušená</v>
      </c>
      <c r="Q19" s="76" t="str">
        <f t="shared" si="1"/>
        <v>P15 40 broušená</v>
      </c>
      <c r="R19" s="76" t="str">
        <f t="shared" si="2"/>
        <v>P15 38 broušená</v>
      </c>
      <c r="S19" s="76" t="str">
        <f t="shared" si="3"/>
        <v>P15 36,5 broušená</v>
      </c>
      <c r="T19" s="76" t="str">
        <f t="shared" si="4"/>
        <v>P15 30 broušená</v>
      </c>
      <c r="U19" s="135" t="s">
        <v>309</v>
      </c>
      <c r="V19" s="135" t="s">
        <v>309</v>
      </c>
      <c r="W19" s="79" t="str">
        <f>D47</f>
        <v>24</v>
      </c>
      <c r="X19" s="135" t="s">
        <v>309</v>
      </c>
      <c r="Y19" s="135" t="s">
        <v>309</v>
      </c>
      <c r="Z19" s="135" t="s">
        <v>309</v>
      </c>
      <c r="AA19" s="76" t="str">
        <f>D57</f>
        <v>AKU 20 zalévaná</v>
      </c>
      <c r="AB19" s="76" t="str">
        <f>D61</f>
        <v>AKU 20 těžká</v>
      </c>
      <c r="AC19" s="135" t="s">
        <v>309</v>
      </c>
      <c r="AD19" s="135" t="s">
        <v>309</v>
      </c>
      <c r="AE19" s="135" t="s">
        <v>309</v>
      </c>
    </row>
    <row r="20" spans="2:31" ht="12.75">
      <c r="B20" s="44" t="s">
        <v>5</v>
      </c>
      <c r="C20" s="289"/>
      <c r="D20" s="4" t="s">
        <v>21</v>
      </c>
      <c r="E20" s="4">
        <v>247</v>
      </c>
      <c r="F20" s="5">
        <v>400</v>
      </c>
      <c r="G20" s="4">
        <v>238</v>
      </c>
      <c r="H20" s="4">
        <v>312</v>
      </c>
      <c r="I20" s="7" t="s">
        <v>91</v>
      </c>
      <c r="J20" s="6">
        <v>1.143</v>
      </c>
      <c r="K20" s="14">
        <v>3</v>
      </c>
      <c r="L20" s="94">
        <v>3</v>
      </c>
      <c r="N20" s="135" t="s">
        <v>309</v>
      </c>
      <c r="O20" s="135" t="s">
        <v>309</v>
      </c>
      <c r="P20" s="76" t="str">
        <f t="shared" si="0"/>
        <v>THERMO STI 44</v>
      </c>
      <c r="Q20" s="76" t="str">
        <f t="shared" si="1"/>
        <v>STI 40</v>
      </c>
      <c r="R20" s="76" t="str">
        <f t="shared" si="2"/>
        <v>STI 38</v>
      </c>
      <c r="S20" s="76" t="str">
        <f t="shared" si="3"/>
        <v>STI 36,5</v>
      </c>
      <c r="T20" s="76" t="str">
        <f t="shared" si="4"/>
        <v>STI 30</v>
      </c>
      <c r="U20" s="135" t="s">
        <v>309</v>
      </c>
      <c r="V20" s="135" t="s">
        <v>309</v>
      </c>
      <c r="W20" s="76" t="str">
        <f>D48</f>
        <v>P15 24</v>
      </c>
      <c r="X20" s="135" t="s">
        <v>309</v>
      </c>
      <c r="Y20" s="135" t="s">
        <v>309</v>
      </c>
      <c r="Z20" s="135" t="s">
        <v>309</v>
      </c>
      <c r="AA20" s="76" t="str">
        <f>D58</f>
        <v>AKU 14 zalévaná</v>
      </c>
      <c r="AB20" s="76" t="str">
        <f>D62</f>
        <v>AKU 11,5 těžká</v>
      </c>
      <c r="AC20" s="135" t="s">
        <v>309</v>
      </c>
      <c r="AD20" s="135" t="s">
        <v>309</v>
      </c>
      <c r="AE20" s="135" t="s">
        <v>309</v>
      </c>
    </row>
    <row r="21" spans="2:31" ht="12.75">
      <c r="B21" s="43"/>
      <c r="C21" s="289"/>
      <c r="D21" s="4" t="s">
        <v>22</v>
      </c>
      <c r="E21" s="4">
        <v>247</v>
      </c>
      <c r="F21" s="5">
        <v>400</v>
      </c>
      <c r="G21" s="4">
        <v>238</v>
      </c>
      <c r="H21" s="4">
        <v>316</v>
      </c>
      <c r="I21" s="4">
        <v>10</v>
      </c>
      <c r="J21" s="6">
        <v>1.143</v>
      </c>
      <c r="K21" s="14">
        <v>3</v>
      </c>
      <c r="L21" s="94">
        <v>6</v>
      </c>
      <c r="N21" s="135" t="s">
        <v>309</v>
      </c>
      <c r="O21" s="135" t="s">
        <v>309</v>
      </c>
      <c r="P21" s="76" t="str">
        <f t="shared" si="0"/>
        <v>PLUS 44</v>
      </c>
      <c r="Q21" s="76" t="str">
        <f t="shared" si="1"/>
        <v>PLUS 40</v>
      </c>
      <c r="R21" s="76" t="str">
        <f t="shared" si="2"/>
        <v>PLUS 38</v>
      </c>
      <c r="S21" s="76" t="str">
        <f t="shared" si="3"/>
        <v>PLUS 36,5</v>
      </c>
      <c r="T21" s="76" t="str">
        <f t="shared" si="4"/>
        <v>PLUS 30</v>
      </c>
      <c r="U21" s="135" t="s">
        <v>309</v>
      </c>
      <c r="V21" s="135" t="s">
        <v>309</v>
      </c>
      <c r="W21" s="135" t="s">
        <v>309</v>
      </c>
      <c r="X21" s="135" t="s">
        <v>309</v>
      </c>
      <c r="Y21" s="135" t="s">
        <v>309</v>
      </c>
      <c r="Z21" s="135" t="s">
        <v>309</v>
      </c>
      <c r="AA21" s="135" t="s">
        <v>309</v>
      </c>
      <c r="AB21" s="135" t="s">
        <v>309</v>
      </c>
      <c r="AC21" s="135" t="s">
        <v>309</v>
      </c>
      <c r="AD21" s="135" t="s">
        <v>309</v>
      </c>
      <c r="AE21" s="135" t="s">
        <v>309</v>
      </c>
    </row>
    <row r="22" spans="2:31" ht="12.75">
      <c r="B22" s="43"/>
      <c r="C22" s="288"/>
      <c r="D22" s="4" t="s">
        <v>23</v>
      </c>
      <c r="E22" s="4">
        <v>247</v>
      </c>
      <c r="F22" s="5">
        <v>400</v>
      </c>
      <c r="G22" s="4">
        <v>238</v>
      </c>
      <c r="H22" s="4">
        <v>374</v>
      </c>
      <c r="I22" s="4">
        <v>15</v>
      </c>
      <c r="J22" s="6">
        <v>1.143</v>
      </c>
      <c r="K22" s="14">
        <v>2</v>
      </c>
      <c r="L22" s="94">
        <v>7</v>
      </c>
      <c r="N22" s="135" t="s">
        <v>309</v>
      </c>
      <c r="O22" s="135" t="s">
        <v>309</v>
      </c>
      <c r="P22" s="76" t="str">
        <f t="shared" si="0"/>
        <v>P15 44</v>
      </c>
      <c r="Q22" s="76" t="str">
        <f t="shared" si="1"/>
        <v>P15 40</v>
      </c>
      <c r="R22" s="76" t="str">
        <f t="shared" si="2"/>
        <v>P15 38</v>
      </c>
      <c r="S22" s="76" t="str">
        <f t="shared" si="3"/>
        <v>P15 36,5</v>
      </c>
      <c r="T22" s="76" t="str">
        <f t="shared" si="4"/>
        <v>P15 30</v>
      </c>
      <c r="U22" s="135" t="s">
        <v>309</v>
      </c>
      <c r="V22" s="135" t="s">
        <v>309</v>
      </c>
      <c r="W22" s="135" t="s">
        <v>309</v>
      </c>
      <c r="X22" s="135" t="s">
        <v>309</v>
      </c>
      <c r="Y22" s="135" t="s">
        <v>309</v>
      </c>
      <c r="Z22" s="135" t="s">
        <v>309</v>
      </c>
      <c r="AA22" s="135" t="s">
        <v>309</v>
      </c>
      <c r="AB22" s="135" t="s">
        <v>309</v>
      </c>
      <c r="AC22" s="135" t="s">
        <v>309</v>
      </c>
      <c r="AD22" s="135" t="s">
        <v>309</v>
      </c>
      <c r="AE22" s="135" t="s">
        <v>309</v>
      </c>
    </row>
    <row r="23" spans="2:24" ht="12.75">
      <c r="B23" s="43"/>
      <c r="C23" s="287" t="s">
        <v>24</v>
      </c>
      <c r="D23" s="4" t="s">
        <v>30</v>
      </c>
      <c r="E23" s="4">
        <v>247</v>
      </c>
      <c r="F23" s="5">
        <v>380</v>
      </c>
      <c r="G23" s="4">
        <v>249</v>
      </c>
      <c r="H23" s="4">
        <v>269</v>
      </c>
      <c r="I23" s="7" t="s">
        <v>93</v>
      </c>
      <c r="J23" s="6">
        <v>1.155</v>
      </c>
      <c r="K23" s="14">
        <v>3</v>
      </c>
      <c r="L23" s="94">
        <v>2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2:24" ht="12.75">
      <c r="B24" s="43"/>
      <c r="C24" s="289"/>
      <c r="D24" s="4" t="s">
        <v>25</v>
      </c>
      <c r="E24" s="4">
        <v>247</v>
      </c>
      <c r="F24" s="5">
        <v>380</v>
      </c>
      <c r="G24" s="4">
        <v>249</v>
      </c>
      <c r="H24" s="4">
        <v>271</v>
      </c>
      <c r="I24" s="4">
        <v>10</v>
      </c>
      <c r="J24" s="6">
        <v>1.155</v>
      </c>
      <c r="K24" s="14">
        <v>3</v>
      </c>
      <c r="L24" s="94">
        <v>4</v>
      </c>
      <c r="N24" s="79">
        <v>8</v>
      </c>
      <c r="O24" s="79">
        <v>10</v>
      </c>
      <c r="P24" s="79">
        <v>15</v>
      </c>
      <c r="Q24" s="79">
        <v>20</v>
      </c>
      <c r="R24" s="79" t="s">
        <v>91</v>
      </c>
      <c r="S24" s="79" t="s">
        <v>92</v>
      </c>
      <c r="T24" s="79" t="s">
        <v>169</v>
      </c>
      <c r="U24" s="79" t="s">
        <v>94</v>
      </c>
      <c r="V24" s="79" t="s">
        <v>93</v>
      </c>
      <c r="W24" s="76" t="s">
        <v>168</v>
      </c>
      <c r="X24" s="79" t="s">
        <v>167</v>
      </c>
    </row>
    <row r="25" spans="2:24" ht="12.75">
      <c r="B25" s="43"/>
      <c r="C25" s="289"/>
      <c r="D25" s="4" t="s">
        <v>26</v>
      </c>
      <c r="E25" s="4">
        <v>247</v>
      </c>
      <c r="F25" s="5">
        <v>380</v>
      </c>
      <c r="G25" s="4">
        <v>249</v>
      </c>
      <c r="H25" s="4">
        <v>362</v>
      </c>
      <c r="I25" s="4">
        <v>15</v>
      </c>
      <c r="J25" s="6">
        <v>1.155</v>
      </c>
      <c r="K25" s="14">
        <v>2</v>
      </c>
      <c r="L25" s="94">
        <v>5</v>
      </c>
      <c r="N25" s="76" t="s">
        <v>119</v>
      </c>
      <c r="O25" s="76" t="s">
        <v>121</v>
      </c>
      <c r="P25" s="76" t="s">
        <v>122</v>
      </c>
      <c r="Q25" s="76" t="s">
        <v>123</v>
      </c>
      <c r="R25" s="76" t="s">
        <v>120</v>
      </c>
      <c r="S25" s="76" t="s">
        <v>119</v>
      </c>
      <c r="T25" s="76" t="s">
        <v>119</v>
      </c>
      <c r="U25" s="76" t="s">
        <v>122</v>
      </c>
      <c r="V25" s="76" t="s">
        <v>120</v>
      </c>
      <c r="W25" s="76" t="s">
        <v>119</v>
      </c>
      <c r="X25" s="76" t="s">
        <v>170</v>
      </c>
    </row>
    <row r="26" spans="2:24" ht="12.75">
      <c r="B26" s="43"/>
      <c r="C26" s="289"/>
      <c r="D26" s="4" t="s">
        <v>27</v>
      </c>
      <c r="E26" s="4">
        <v>247</v>
      </c>
      <c r="F26" s="5">
        <v>380</v>
      </c>
      <c r="G26" s="4">
        <v>238</v>
      </c>
      <c r="H26" s="4">
        <v>277</v>
      </c>
      <c r="I26" s="8" t="s">
        <v>93</v>
      </c>
      <c r="J26" s="6">
        <v>1.143</v>
      </c>
      <c r="K26" s="14">
        <v>3</v>
      </c>
      <c r="L26" s="94">
        <v>3</v>
      </c>
      <c r="N26" s="135" t="s">
        <v>309</v>
      </c>
      <c r="O26" s="135" t="s">
        <v>309</v>
      </c>
      <c r="P26" s="135" t="s">
        <v>309</v>
      </c>
      <c r="Q26" s="135" t="s">
        <v>309</v>
      </c>
      <c r="R26" s="76" t="s">
        <v>119</v>
      </c>
      <c r="S26" s="76" t="s">
        <v>121</v>
      </c>
      <c r="T26" s="76" t="s">
        <v>170</v>
      </c>
      <c r="U26" s="76" t="s">
        <v>123</v>
      </c>
      <c r="V26" s="76" t="s">
        <v>119</v>
      </c>
      <c r="W26" s="76" t="s">
        <v>170</v>
      </c>
      <c r="X26" s="76" t="s">
        <v>123</v>
      </c>
    </row>
    <row r="27" spans="2:24" ht="12.75">
      <c r="B27" s="43"/>
      <c r="C27" s="289"/>
      <c r="D27" s="4" t="s">
        <v>28</v>
      </c>
      <c r="E27" s="4">
        <v>247</v>
      </c>
      <c r="F27" s="5">
        <v>380</v>
      </c>
      <c r="G27" s="4">
        <v>238</v>
      </c>
      <c r="H27" s="4">
        <v>279</v>
      </c>
      <c r="I27" s="4">
        <v>10</v>
      </c>
      <c r="J27" s="6">
        <v>1.143</v>
      </c>
      <c r="K27" s="14">
        <v>3</v>
      </c>
      <c r="L27" s="94">
        <v>6</v>
      </c>
      <c r="N27" s="135" t="s">
        <v>309</v>
      </c>
      <c r="O27" s="135" t="s">
        <v>309</v>
      </c>
      <c r="P27" s="135" t="s">
        <v>309</v>
      </c>
      <c r="Q27" s="135" t="s">
        <v>309</v>
      </c>
      <c r="R27" s="135" t="s">
        <v>309</v>
      </c>
      <c r="S27" s="135" t="s">
        <v>309</v>
      </c>
      <c r="T27" s="135" t="s">
        <v>309</v>
      </c>
      <c r="U27" s="135" t="s">
        <v>309</v>
      </c>
      <c r="V27" s="76" t="s">
        <v>121</v>
      </c>
      <c r="W27" s="76" t="s">
        <v>123</v>
      </c>
      <c r="X27" s="76" t="s">
        <v>171</v>
      </c>
    </row>
    <row r="28" spans="2:12" ht="12.75">
      <c r="B28" s="43"/>
      <c r="C28" s="288"/>
      <c r="D28" s="4" t="s">
        <v>29</v>
      </c>
      <c r="E28" s="4">
        <v>247</v>
      </c>
      <c r="F28" s="5">
        <v>380</v>
      </c>
      <c r="G28" s="4">
        <v>238</v>
      </c>
      <c r="H28" s="4">
        <v>350</v>
      </c>
      <c r="I28" s="4">
        <v>15</v>
      </c>
      <c r="J28" s="6">
        <v>1.143</v>
      </c>
      <c r="K28" s="14">
        <v>2</v>
      </c>
      <c r="L28" s="94" t="s">
        <v>179</v>
      </c>
    </row>
    <row r="29" spans="2:12" ht="12.75">
      <c r="B29" s="43"/>
      <c r="C29" s="287" t="s">
        <v>37</v>
      </c>
      <c r="D29" s="4" t="s">
        <v>31</v>
      </c>
      <c r="E29" s="4">
        <v>247</v>
      </c>
      <c r="F29" s="5">
        <v>365</v>
      </c>
      <c r="G29" s="4">
        <v>249</v>
      </c>
      <c r="H29" s="4">
        <v>260</v>
      </c>
      <c r="I29" s="7" t="s">
        <v>91</v>
      </c>
      <c r="J29" s="6">
        <v>1.155</v>
      </c>
      <c r="K29" s="14">
        <v>3</v>
      </c>
      <c r="L29" s="94">
        <v>2</v>
      </c>
    </row>
    <row r="30" spans="2:12" ht="12.75">
      <c r="B30" s="43"/>
      <c r="C30" s="289"/>
      <c r="D30" s="4" t="s">
        <v>32</v>
      </c>
      <c r="E30" s="4">
        <v>247</v>
      </c>
      <c r="F30" s="5">
        <v>365</v>
      </c>
      <c r="G30" s="4">
        <v>249</v>
      </c>
      <c r="H30" s="4">
        <v>300</v>
      </c>
      <c r="I30" s="4">
        <v>10</v>
      </c>
      <c r="J30" s="6">
        <v>1.155</v>
      </c>
      <c r="K30" s="14">
        <v>3</v>
      </c>
      <c r="L30" s="94">
        <v>4</v>
      </c>
    </row>
    <row r="31" spans="2:12" ht="12.75">
      <c r="B31" s="43"/>
      <c r="C31" s="289"/>
      <c r="D31" s="4" t="s">
        <v>33</v>
      </c>
      <c r="E31" s="4">
        <v>247</v>
      </c>
      <c r="F31" s="5">
        <v>365</v>
      </c>
      <c r="G31" s="4">
        <v>249</v>
      </c>
      <c r="H31" s="4">
        <v>280</v>
      </c>
      <c r="I31" s="4">
        <v>15</v>
      </c>
      <c r="J31" s="6">
        <v>1.155</v>
      </c>
      <c r="K31" s="14">
        <v>3</v>
      </c>
      <c r="L31" s="94">
        <v>5</v>
      </c>
    </row>
    <row r="32" spans="2:12" ht="12.75">
      <c r="B32" s="43"/>
      <c r="C32" s="289"/>
      <c r="D32" s="4" t="s">
        <v>34</v>
      </c>
      <c r="E32" s="4">
        <v>247</v>
      </c>
      <c r="F32" s="5">
        <v>365</v>
      </c>
      <c r="G32" s="4">
        <v>238</v>
      </c>
      <c r="H32" s="4">
        <v>281</v>
      </c>
      <c r="I32" s="7" t="s">
        <v>91</v>
      </c>
      <c r="J32" s="6">
        <v>1.143</v>
      </c>
      <c r="K32" s="14">
        <v>3</v>
      </c>
      <c r="L32" s="94">
        <v>3</v>
      </c>
    </row>
    <row r="33" spans="2:12" ht="12.75">
      <c r="B33" s="43"/>
      <c r="C33" s="289"/>
      <c r="D33" s="4" t="s">
        <v>35</v>
      </c>
      <c r="E33" s="4">
        <v>247</v>
      </c>
      <c r="F33" s="5">
        <v>365</v>
      </c>
      <c r="G33" s="4">
        <v>238</v>
      </c>
      <c r="H33" s="4">
        <v>305</v>
      </c>
      <c r="I33" s="7" t="s">
        <v>92</v>
      </c>
      <c r="J33" s="6">
        <v>1.143</v>
      </c>
      <c r="K33" s="14">
        <v>3</v>
      </c>
      <c r="L33" s="94">
        <v>6</v>
      </c>
    </row>
    <row r="34" spans="2:12" ht="12.75">
      <c r="B34" s="43"/>
      <c r="C34" s="288"/>
      <c r="D34" s="4" t="s">
        <v>36</v>
      </c>
      <c r="E34" s="4">
        <v>247</v>
      </c>
      <c r="F34" s="5">
        <v>365</v>
      </c>
      <c r="G34" s="4">
        <v>238</v>
      </c>
      <c r="H34" s="4">
        <v>330</v>
      </c>
      <c r="I34" s="4">
        <v>15</v>
      </c>
      <c r="J34" s="6">
        <v>1.143</v>
      </c>
      <c r="K34" s="14">
        <v>3</v>
      </c>
      <c r="L34" s="94">
        <v>7</v>
      </c>
    </row>
    <row r="35" spans="2:12" ht="12.75">
      <c r="B35" s="43"/>
      <c r="C35" s="287" t="s">
        <v>44</v>
      </c>
      <c r="D35" s="4" t="s">
        <v>38</v>
      </c>
      <c r="E35" s="4">
        <v>247</v>
      </c>
      <c r="F35" s="5">
        <v>300</v>
      </c>
      <c r="G35" s="4">
        <v>249</v>
      </c>
      <c r="H35" s="4">
        <v>230</v>
      </c>
      <c r="I35" s="7" t="s">
        <v>91</v>
      </c>
      <c r="J35" s="6">
        <v>1.155</v>
      </c>
      <c r="K35" s="14">
        <v>3</v>
      </c>
      <c r="L35" s="94">
        <v>2</v>
      </c>
    </row>
    <row r="36" spans="2:12" ht="12.75">
      <c r="B36" s="43"/>
      <c r="C36" s="289"/>
      <c r="D36" s="4" t="s">
        <v>39</v>
      </c>
      <c r="E36" s="4">
        <v>247</v>
      </c>
      <c r="F36" s="5">
        <v>300</v>
      </c>
      <c r="G36" s="4">
        <v>249</v>
      </c>
      <c r="H36" s="4">
        <v>267</v>
      </c>
      <c r="I36" s="4">
        <v>10</v>
      </c>
      <c r="J36" s="6">
        <v>1.155</v>
      </c>
      <c r="K36" s="14">
        <v>3</v>
      </c>
      <c r="L36" s="94">
        <v>4</v>
      </c>
    </row>
    <row r="37" spans="2:12" ht="12.75">
      <c r="B37" s="43"/>
      <c r="C37" s="289"/>
      <c r="D37" s="4" t="s">
        <v>40</v>
      </c>
      <c r="E37" s="4">
        <v>247</v>
      </c>
      <c r="F37" s="5">
        <v>300</v>
      </c>
      <c r="G37" s="4">
        <v>249</v>
      </c>
      <c r="H37" s="4">
        <v>293</v>
      </c>
      <c r="I37" s="4">
        <v>15</v>
      </c>
      <c r="J37" s="6">
        <v>1.155</v>
      </c>
      <c r="K37" s="14">
        <v>2</v>
      </c>
      <c r="L37" s="94">
        <v>5</v>
      </c>
    </row>
    <row r="38" spans="2:12" ht="12.75">
      <c r="B38" s="43"/>
      <c r="C38" s="289"/>
      <c r="D38" s="4" t="s">
        <v>41</v>
      </c>
      <c r="E38" s="4">
        <v>247</v>
      </c>
      <c r="F38" s="5">
        <v>300</v>
      </c>
      <c r="G38" s="4">
        <v>238</v>
      </c>
      <c r="H38" s="4">
        <v>244</v>
      </c>
      <c r="I38" s="7" t="s">
        <v>91</v>
      </c>
      <c r="J38" s="6">
        <v>1.143</v>
      </c>
      <c r="K38" s="14">
        <v>3</v>
      </c>
      <c r="L38" s="94">
        <v>3</v>
      </c>
    </row>
    <row r="39" spans="2:12" ht="12.75">
      <c r="B39" s="43"/>
      <c r="C39" s="289"/>
      <c r="D39" s="4" t="s">
        <v>42</v>
      </c>
      <c r="E39" s="4">
        <v>247</v>
      </c>
      <c r="F39" s="5">
        <v>300</v>
      </c>
      <c r="G39" s="4">
        <v>238</v>
      </c>
      <c r="H39" s="4">
        <v>301</v>
      </c>
      <c r="I39" s="4">
        <v>10</v>
      </c>
      <c r="J39" s="6">
        <v>1.143</v>
      </c>
      <c r="K39" s="14">
        <v>3</v>
      </c>
      <c r="L39" s="94">
        <v>8</v>
      </c>
    </row>
    <row r="40" spans="2:12" ht="12.75">
      <c r="B40" s="43"/>
      <c r="C40" s="288"/>
      <c r="D40" s="4" t="s">
        <v>43</v>
      </c>
      <c r="E40" s="4">
        <v>247</v>
      </c>
      <c r="F40" s="5">
        <v>300</v>
      </c>
      <c r="G40" s="4">
        <v>238</v>
      </c>
      <c r="H40" s="4">
        <v>315</v>
      </c>
      <c r="I40" s="4">
        <v>15</v>
      </c>
      <c r="J40" s="6">
        <v>1.143</v>
      </c>
      <c r="K40" s="14">
        <v>2</v>
      </c>
      <c r="L40" s="94">
        <v>9</v>
      </c>
    </row>
    <row r="41" spans="2:12" ht="12.75">
      <c r="B41" s="43"/>
      <c r="C41" s="287" t="s">
        <v>113</v>
      </c>
      <c r="D41" s="4" t="s">
        <v>45</v>
      </c>
      <c r="E41" s="4">
        <v>247</v>
      </c>
      <c r="F41" s="5">
        <v>250</v>
      </c>
      <c r="G41" s="4">
        <v>249</v>
      </c>
      <c r="H41" s="4">
        <v>189</v>
      </c>
      <c r="I41" s="7" t="s">
        <v>91</v>
      </c>
      <c r="J41" s="6">
        <v>1.155</v>
      </c>
      <c r="K41" s="14">
        <v>3</v>
      </c>
      <c r="L41" s="94">
        <v>2</v>
      </c>
    </row>
    <row r="42" spans="2:12" ht="13.5" thickBot="1">
      <c r="B42" s="35"/>
      <c r="C42" s="303"/>
      <c r="D42" s="16" t="s">
        <v>46</v>
      </c>
      <c r="E42" s="16">
        <v>247</v>
      </c>
      <c r="F42" s="18">
        <v>250</v>
      </c>
      <c r="G42" s="16">
        <v>238</v>
      </c>
      <c r="H42" s="16">
        <v>195</v>
      </c>
      <c r="I42" s="36" t="s">
        <v>91</v>
      </c>
      <c r="J42" s="19">
        <v>1.143</v>
      </c>
      <c r="K42" s="20">
        <v>3</v>
      </c>
      <c r="L42" s="94">
        <v>3</v>
      </c>
    </row>
    <row r="43" spans="2:12" ht="12.75">
      <c r="B43" s="30"/>
      <c r="C43" s="300" t="s">
        <v>112</v>
      </c>
      <c r="D43" s="31" t="s">
        <v>89</v>
      </c>
      <c r="E43" s="31">
        <v>372</v>
      </c>
      <c r="F43" s="32">
        <v>250</v>
      </c>
      <c r="G43" s="31">
        <v>249</v>
      </c>
      <c r="H43" s="31">
        <v>229</v>
      </c>
      <c r="I43" s="31">
        <v>15</v>
      </c>
      <c r="J43" s="33">
        <v>1.149</v>
      </c>
      <c r="K43" s="34">
        <v>2</v>
      </c>
      <c r="L43" s="94">
        <v>18</v>
      </c>
    </row>
    <row r="44" spans="2:12" ht="12.75">
      <c r="B44" s="43" t="s">
        <v>47</v>
      </c>
      <c r="C44" s="288"/>
      <c r="D44" s="4" t="s">
        <v>90</v>
      </c>
      <c r="E44" s="4">
        <v>372</v>
      </c>
      <c r="F44" s="5">
        <v>250</v>
      </c>
      <c r="G44" s="4">
        <v>238</v>
      </c>
      <c r="H44" s="4">
        <v>256</v>
      </c>
      <c r="I44" s="4">
        <v>15</v>
      </c>
      <c r="J44" s="6">
        <v>1.138</v>
      </c>
      <c r="K44" s="14">
        <v>2</v>
      </c>
      <c r="L44" s="94" t="s">
        <v>179</v>
      </c>
    </row>
    <row r="45" spans="2:12" ht="12.75">
      <c r="B45" s="43"/>
      <c r="C45" s="287" t="s">
        <v>48</v>
      </c>
      <c r="D45" s="4" t="s">
        <v>49</v>
      </c>
      <c r="E45" s="4">
        <v>372</v>
      </c>
      <c r="F45" s="5">
        <v>240</v>
      </c>
      <c r="G45" s="4">
        <v>249</v>
      </c>
      <c r="H45" s="4">
        <v>229</v>
      </c>
      <c r="I45" s="4">
        <v>10</v>
      </c>
      <c r="J45" s="6">
        <v>1.169</v>
      </c>
      <c r="K45" s="14">
        <v>2</v>
      </c>
      <c r="L45" s="94">
        <v>10</v>
      </c>
    </row>
    <row r="46" spans="2:12" ht="12.75">
      <c r="B46" s="43"/>
      <c r="C46" s="289"/>
      <c r="D46" s="4" t="s">
        <v>50</v>
      </c>
      <c r="E46" s="4">
        <v>372</v>
      </c>
      <c r="F46" s="5">
        <v>240</v>
      </c>
      <c r="G46" s="4">
        <v>249</v>
      </c>
      <c r="H46" s="4">
        <v>215</v>
      </c>
      <c r="I46" s="4">
        <v>15</v>
      </c>
      <c r="J46" s="6">
        <v>1.169</v>
      </c>
      <c r="K46" s="14">
        <v>2</v>
      </c>
      <c r="L46" s="94">
        <v>11</v>
      </c>
    </row>
    <row r="47" spans="2:12" ht="12.75">
      <c r="B47" s="43"/>
      <c r="C47" s="289"/>
      <c r="D47" s="51" t="s">
        <v>114</v>
      </c>
      <c r="E47" s="4">
        <v>372</v>
      </c>
      <c r="F47" s="5">
        <v>240</v>
      </c>
      <c r="G47" s="4">
        <v>238</v>
      </c>
      <c r="H47" s="4">
        <v>258</v>
      </c>
      <c r="I47" s="4">
        <v>10</v>
      </c>
      <c r="J47" s="6">
        <v>1.156</v>
      </c>
      <c r="K47" s="14">
        <v>2</v>
      </c>
      <c r="L47" s="94">
        <v>12</v>
      </c>
    </row>
    <row r="48" spans="2:12" ht="12.75">
      <c r="B48" s="43"/>
      <c r="C48" s="288"/>
      <c r="D48" s="4" t="s">
        <v>51</v>
      </c>
      <c r="E48" s="4">
        <v>372</v>
      </c>
      <c r="F48" s="5">
        <v>240</v>
      </c>
      <c r="G48" s="4">
        <v>238</v>
      </c>
      <c r="H48" s="4">
        <v>251</v>
      </c>
      <c r="I48" s="4">
        <v>15</v>
      </c>
      <c r="J48" s="6">
        <v>1.156</v>
      </c>
      <c r="K48" s="14">
        <v>2</v>
      </c>
      <c r="L48" s="94">
        <v>13</v>
      </c>
    </row>
    <row r="49" spans="2:12" ht="12.75">
      <c r="B49" s="43"/>
      <c r="C49" s="287" t="s">
        <v>52</v>
      </c>
      <c r="D49" s="4" t="s">
        <v>53</v>
      </c>
      <c r="E49" s="4">
        <v>497</v>
      </c>
      <c r="F49" s="5">
        <v>200</v>
      </c>
      <c r="G49" s="4">
        <v>249</v>
      </c>
      <c r="H49" s="4">
        <v>192</v>
      </c>
      <c r="I49" s="4">
        <v>10</v>
      </c>
      <c r="J49" s="6">
        <v>1.248</v>
      </c>
      <c r="K49" s="14">
        <v>2</v>
      </c>
      <c r="L49" s="94">
        <v>14</v>
      </c>
    </row>
    <row r="50" spans="2:12" ht="12.75">
      <c r="B50" s="43"/>
      <c r="C50" s="288"/>
      <c r="D50" s="51" t="s">
        <v>115</v>
      </c>
      <c r="E50" s="4">
        <v>497</v>
      </c>
      <c r="F50" s="5">
        <v>200</v>
      </c>
      <c r="G50" s="4">
        <v>238</v>
      </c>
      <c r="H50" s="4">
        <v>215</v>
      </c>
      <c r="I50" s="4">
        <v>10</v>
      </c>
      <c r="J50" s="6">
        <v>1.226</v>
      </c>
      <c r="K50" s="14">
        <v>2</v>
      </c>
      <c r="L50" s="94">
        <v>15</v>
      </c>
    </row>
    <row r="51" spans="2:12" ht="12.75">
      <c r="B51" s="43"/>
      <c r="C51" s="301" t="s">
        <v>54</v>
      </c>
      <c r="D51" s="10" t="s">
        <v>55</v>
      </c>
      <c r="E51" s="10">
        <v>497</v>
      </c>
      <c r="F51" s="11">
        <v>175</v>
      </c>
      <c r="G51" s="10">
        <v>249</v>
      </c>
      <c r="H51" s="10">
        <v>160</v>
      </c>
      <c r="I51" s="10">
        <v>10</v>
      </c>
      <c r="J51" s="12">
        <v>1.298</v>
      </c>
      <c r="K51" s="15">
        <v>2</v>
      </c>
      <c r="L51" s="94">
        <v>16</v>
      </c>
    </row>
    <row r="52" spans="2:12" ht="12.75">
      <c r="B52" s="43"/>
      <c r="C52" s="302"/>
      <c r="D52" s="52" t="s">
        <v>116</v>
      </c>
      <c r="E52" s="10">
        <v>497</v>
      </c>
      <c r="F52" s="11">
        <v>175</v>
      </c>
      <c r="G52" s="10">
        <v>238</v>
      </c>
      <c r="H52" s="10">
        <v>194</v>
      </c>
      <c r="I52" s="10">
        <v>10</v>
      </c>
      <c r="J52" s="12">
        <v>1.276</v>
      </c>
      <c r="K52" s="15">
        <v>2</v>
      </c>
      <c r="L52" s="94">
        <v>17</v>
      </c>
    </row>
    <row r="53" spans="2:12" ht="12.75">
      <c r="B53" s="43"/>
      <c r="C53" s="301" t="s">
        <v>57</v>
      </c>
      <c r="D53" s="10" t="s">
        <v>56</v>
      </c>
      <c r="E53" s="10">
        <v>497</v>
      </c>
      <c r="F53" s="11">
        <v>140</v>
      </c>
      <c r="G53" s="10">
        <v>249</v>
      </c>
      <c r="H53" s="10">
        <v>146</v>
      </c>
      <c r="I53" s="10">
        <v>10</v>
      </c>
      <c r="J53" s="12">
        <v>1.368</v>
      </c>
      <c r="K53" s="15">
        <v>2</v>
      </c>
      <c r="L53" s="94">
        <v>19</v>
      </c>
    </row>
    <row r="54" spans="2:12" ht="13.5" thickBot="1">
      <c r="B54" s="35"/>
      <c r="C54" s="307"/>
      <c r="D54" s="53" t="s">
        <v>117</v>
      </c>
      <c r="E54" s="37">
        <v>497</v>
      </c>
      <c r="F54" s="38">
        <v>140</v>
      </c>
      <c r="G54" s="37">
        <v>238</v>
      </c>
      <c r="H54" s="37">
        <v>162</v>
      </c>
      <c r="I54" s="37">
        <v>10</v>
      </c>
      <c r="J54" s="39">
        <v>1.346</v>
      </c>
      <c r="K54" s="40">
        <v>2</v>
      </c>
      <c r="L54" s="94" t="s">
        <v>179</v>
      </c>
    </row>
    <row r="55" spans="2:12" ht="12.75">
      <c r="B55" s="30" t="s">
        <v>58</v>
      </c>
      <c r="C55" s="300" t="s">
        <v>59</v>
      </c>
      <c r="D55" s="27" t="s">
        <v>60</v>
      </c>
      <c r="E55" s="31">
        <v>497</v>
      </c>
      <c r="F55" s="32">
        <v>300</v>
      </c>
      <c r="G55" s="31">
        <v>238</v>
      </c>
      <c r="H55" s="41">
        <v>569</v>
      </c>
      <c r="I55" s="41" t="s">
        <v>167</v>
      </c>
      <c r="J55" s="42">
        <v>1.138</v>
      </c>
      <c r="K55" s="34">
        <v>1</v>
      </c>
      <c r="L55" s="94" t="s">
        <v>179</v>
      </c>
    </row>
    <row r="56" spans="2:12" ht="12.75">
      <c r="B56" s="43"/>
      <c r="C56" s="289"/>
      <c r="D56" s="9" t="s">
        <v>61</v>
      </c>
      <c r="E56" s="4">
        <v>497</v>
      </c>
      <c r="F56" s="5">
        <v>240</v>
      </c>
      <c r="G56" s="4">
        <v>238</v>
      </c>
      <c r="H56" s="8">
        <v>456</v>
      </c>
      <c r="I56" s="8" t="s">
        <v>167</v>
      </c>
      <c r="J56" s="13">
        <v>1.156</v>
      </c>
      <c r="K56" s="14">
        <v>1</v>
      </c>
      <c r="L56" s="94" t="s">
        <v>179</v>
      </c>
    </row>
    <row r="57" spans="2:12" ht="12.75">
      <c r="B57" s="43"/>
      <c r="C57" s="289"/>
      <c r="D57" s="9" t="s">
        <v>62</v>
      </c>
      <c r="E57" s="4">
        <v>497</v>
      </c>
      <c r="F57" s="5">
        <v>200</v>
      </c>
      <c r="G57" s="4">
        <v>238</v>
      </c>
      <c r="H57" s="8">
        <v>387</v>
      </c>
      <c r="I57" s="8" t="s">
        <v>168</v>
      </c>
      <c r="J57" s="13">
        <v>1.226</v>
      </c>
      <c r="K57" s="14">
        <v>1</v>
      </c>
      <c r="L57" s="94" t="s">
        <v>179</v>
      </c>
    </row>
    <row r="58" spans="2:12" ht="12.75">
      <c r="B58" s="43"/>
      <c r="C58" s="288"/>
      <c r="D58" s="9" t="s">
        <v>63</v>
      </c>
      <c r="E58" s="4">
        <v>497</v>
      </c>
      <c r="F58" s="5">
        <v>140</v>
      </c>
      <c r="G58" s="4">
        <v>238</v>
      </c>
      <c r="H58" s="8">
        <v>275</v>
      </c>
      <c r="I58" s="8" t="s">
        <v>169</v>
      </c>
      <c r="J58" s="13">
        <v>1.346</v>
      </c>
      <c r="K58" s="14">
        <v>1</v>
      </c>
      <c r="L58" s="94" t="s">
        <v>179</v>
      </c>
    </row>
    <row r="59" spans="2:12" ht="12.75">
      <c r="B59" s="43"/>
      <c r="C59" s="287" t="s">
        <v>65</v>
      </c>
      <c r="D59" s="9" t="s">
        <v>66</v>
      </c>
      <c r="E59" s="4">
        <v>247</v>
      </c>
      <c r="F59" s="5">
        <v>300</v>
      </c>
      <c r="G59" s="4">
        <v>238</v>
      </c>
      <c r="H59" s="4">
        <v>409</v>
      </c>
      <c r="I59" s="8" t="s">
        <v>94</v>
      </c>
      <c r="J59" s="6">
        <v>1.143</v>
      </c>
      <c r="K59" s="14">
        <v>2</v>
      </c>
      <c r="L59" s="94" t="s">
        <v>179</v>
      </c>
    </row>
    <row r="60" spans="2:12" ht="12.75">
      <c r="B60" s="43"/>
      <c r="C60" s="289"/>
      <c r="D60" s="9" t="s">
        <v>67</v>
      </c>
      <c r="E60" s="4">
        <v>372</v>
      </c>
      <c r="F60" s="5">
        <v>250</v>
      </c>
      <c r="G60" s="4">
        <v>238</v>
      </c>
      <c r="H60" s="4">
        <v>324</v>
      </c>
      <c r="I60" s="8" t="s">
        <v>94</v>
      </c>
      <c r="J60" s="6">
        <v>1.138</v>
      </c>
      <c r="K60" s="14">
        <v>2</v>
      </c>
      <c r="L60" s="94" t="s">
        <v>179</v>
      </c>
    </row>
    <row r="61" spans="2:12" ht="12.75">
      <c r="B61" s="43"/>
      <c r="C61" s="289"/>
      <c r="D61" s="9" t="s">
        <v>68</v>
      </c>
      <c r="E61" s="4">
        <v>372</v>
      </c>
      <c r="F61" s="5">
        <v>200</v>
      </c>
      <c r="G61" s="4">
        <v>238</v>
      </c>
      <c r="H61" s="4">
        <v>314</v>
      </c>
      <c r="I61" s="8">
        <v>20</v>
      </c>
      <c r="J61" s="6">
        <v>1.226</v>
      </c>
      <c r="K61" s="14">
        <v>2</v>
      </c>
      <c r="L61" s="94" t="s">
        <v>179</v>
      </c>
    </row>
    <row r="62" spans="2:12" ht="13.5" thickBot="1">
      <c r="B62" s="43"/>
      <c r="C62" s="303"/>
      <c r="D62" s="17" t="s">
        <v>69</v>
      </c>
      <c r="E62" s="16">
        <v>372</v>
      </c>
      <c r="F62" s="18">
        <v>115</v>
      </c>
      <c r="G62" s="16">
        <v>238</v>
      </c>
      <c r="H62" s="16">
        <v>203</v>
      </c>
      <c r="I62" s="56" t="s">
        <v>94</v>
      </c>
      <c r="J62" s="19">
        <v>1.396</v>
      </c>
      <c r="K62" s="20">
        <v>2</v>
      </c>
      <c r="L62" s="94" t="s">
        <v>179</v>
      </c>
    </row>
    <row r="63" spans="2:12" ht="12.75">
      <c r="B63" s="304" t="s">
        <v>70</v>
      </c>
      <c r="C63" s="21" t="s">
        <v>148</v>
      </c>
      <c r="D63" s="22" t="s">
        <v>73</v>
      </c>
      <c r="E63" s="21">
        <v>140</v>
      </c>
      <c r="F63" s="24">
        <v>290</v>
      </c>
      <c r="G63" s="21">
        <v>140</v>
      </c>
      <c r="H63" s="21">
        <v>363</v>
      </c>
      <c r="I63" s="21">
        <v>15</v>
      </c>
      <c r="J63" s="25">
        <v>1.08</v>
      </c>
      <c r="K63" s="26">
        <v>2</v>
      </c>
      <c r="L63" s="94" t="s">
        <v>179</v>
      </c>
    </row>
    <row r="64" spans="2:12" ht="12.75">
      <c r="B64" s="305"/>
      <c r="C64" s="21" t="s">
        <v>146</v>
      </c>
      <c r="D64" s="22" t="s">
        <v>72</v>
      </c>
      <c r="E64" s="21">
        <v>115</v>
      </c>
      <c r="F64" s="24">
        <v>240</v>
      </c>
      <c r="G64" s="21">
        <v>113</v>
      </c>
      <c r="H64" s="21">
        <v>326</v>
      </c>
      <c r="I64" s="21">
        <v>15</v>
      </c>
      <c r="J64" s="25">
        <v>1.022</v>
      </c>
      <c r="K64" s="26">
        <v>2</v>
      </c>
      <c r="L64" s="94" t="s">
        <v>179</v>
      </c>
    </row>
    <row r="65" spans="2:12" ht="13.5" thickBot="1">
      <c r="B65" s="306"/>
      <c r="C65" s="16" t="s">
        <v>147</v>
      </c>
      <c r="D65" s="17" t="s">
        <v>73</v>
      </c>
      <c r="E65" s="16">
        <v>290</v>
      </c>
      <c r="F65" s="18">
        <v>140</v>
      </c>
      <c r="G65" s="16">
        <v>140</v>
      </c>
      <c r="H65" s="16">
        <v>195</v>
      </c>
      <c r="I65" s="16">
        <v>15</v>
      </c>
      <c r="J65" s="19">
        <v>1.08</v>
      </c>
      <c r="K65" s="20">
        <v>2</v>
      </c>
      <c r="L65" s="94" t="s">
        <v>179</v>
      </c>
    </row>
  </sheetData>
  <sheetProtection password="8BC1" sheet="1" objects="1" scenarios="1"/>
  <mergeCells count="26">
    <mergeCell ref="C59:C62"/>
    <mergeCell ref="B63:B65"/>
    <mergeCell ref="C17:C22"/>
    <mergeCell ref="C23:C28"/>
    <mergeCell ref="C29:C34"/>
    <mergeCell ref="C53:C54"/>
    <mergeCell ref="C43:C44"/>
    <mergeCell ref="C45:C48"/>
    <mergeCell ref="L4:L5"/>
    <mergeCell ref="C55:C58"/>
    <mergeCell ref="J4:J5"/>
    <mergeCell ref="H4:H5"/>
    <mergeCell ref="C49:C50"/>
    <mergeCell ref="C51:C52"/>
    <mergeCell ref="C35:C40"/>
    <mergeCell ref="C41:C42"/>
    <mergeCell ref="B2:K2"/>
    <mergeCell ref="C6:C8"/>
    <mergeCell ref="C9:C10"/>
    <mergeCell ref="C11:C16"/>
    <mergeCell ref="K4:K5"/>
    <mergeCell ref="B4:B5"/>
    <mergeCell ref="C4:C5"/>
    <mergeCell ref="D4:D5"/>
    <mergeCell ref="E4:G4"/>
    <mergeCell ref="I4:I5"/>
  </mergeCells>
  <hyperlinks>
    <hyperlink ref="G3" r:id="rId1" display="zde"/>
  </hyperlinks>
  <printOptions horizontalCentered="1"/>
  <pageMargins left="0.7874015748031497" right="0.7874015748031497" top="0.984251968503937" bottom="0.9448818897637796" header="0.5118110236220472" footer="0.5118110236220472"/>
  <pageSetup fitToHeight="0" fitToWidth="1" horizontalDpi="600" verticalDpi="600" orientation="landscape" paperSize="9" scale="83" r:id="rId5"/>
  <rowBreaks count="1" manualBreakCount="1">
    <brk id="42" min="1" max="10" man="1"/>
  </rowBreaks>
  <drawing r:id="rId4"/>
  <legacyDrawing r:id="rId3"/>
  <oleObjects>
    <oleObject progId="Paint.Picture" shapeId="5364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75390625" style="1" customWidth="1"/>
    <col min="2" max="2" width="28.625" style="1" bestFit="1" customWidth="1"/>
    <col min="3" max="3" width="40.75390625" style="1" customWidth="1"/>
    <col min="4" max="4" width="29.125" style="1" bestFit="1" customWidth="1"/>
    <col min="5" max="5" width="11.125" style="1" customWidth="1"/>
    <col min="6" max="8" width="9.125" style="1" customWidth="1"/>
    <col min="9" max="9" width="0" style="0" hidden="1" customWidth="1"/>
    <col min="13" max="14" width="9.125" style="110" customWidth="1"/>
    <col min="15" max="15" width="9.125" style="57" customWidth="1"/>
    <col min="16" max="16384" width="9.125" style="1" customWidth="1"/>
  </cols>
  <sheetData>
    <row r="1" spans="2:14" ht="9" customHeight="1" thickBot="1">
      <c r="B1" s="3"/>
      <c r="H1" s="2"/>
      <c r="M1" s="109"/>
      <c r="N1" s="109"/>
    </row>
    <row r="2" spans="2:8" ht="20.25">
      <c r="B2" s="88"/>
      <c r="C2" s="315" t="s">
        <v>100</v>
      </c>
      <c r="D2" s="315"/>
      <c r="E2" s="315"/>
      <c r="F2" s="89"/>
      <c r="G2" s="90"/>
      <c r="H2" s="48"/>
    </row>
    <row r="3" spans="2:8" ht="16.5" customHeight="1" thickBot="1">
      <c r="B3" s="45"/>
      <c r="C3" s="314" t="s">
        <v>145</v>
      </c>
      <c r="D3" s="314"/>
      <c r="E3" s="133" t="s">
        <v>98</v>
      </c>
      <c r="F3" s="46"/>
      <c r="G3" s="47"/>
      <c r="H3" s="23"/>
    </row>
    <row r="4" spans="2:9" ht="28.5" customHeight="1" thickBot="1">
      <c r="B4" s="54" t="s">
        <v>175</v>
      </c>
      <c r="C4" s="49" t="s">
        <v>79</v>
      </c>
      <c r="D4" s="49" t="s">
        <v>78</v>
      </c>
      <c r="E4" s="55" t="s">
        <v>99</v>
      </c>
      <c r="F4" s="55" t="s">
        <v>127</v>
      </c>
      <c r="G4" s="50" t="s">
        <v>128</v>
      </c>
      <c r="I4" s="248" t="s">
        <v>365</v>
      </c>
    </row>
    <row r="5" spans="2:7" ht="12.75">
      <c r="B5" s="308" t="s">
        <v>124</v>
      </c>
      <c r="C5" s="31" t="s">
        <v>80</v>
      </c>
      <c r="D5" s="31" t="s">
        <v>178</v>
      </c>
      <c r="E5" s="41">
        <v>10</v>
      </c>
      <c r="F5" s="58">
        <v>0.7</v>
      </c>
      <c r="G5" s="59">
        <v>0.5</v>
      </c>
    </row>
    <row r="6" spans="2:7" ht="26.25" customHeight="1">
      <c r="B6" s="309"/>
      <c r="C6" s="91" t="s">
        <v>81</v>
      </c>
      <c r="D6" s="4" t="s">
        <v>178</v>
      </c>
      <c r="E6" s="8">
        <v>10</v>
      </c>
      <c r="F6" s="60">
        <v>0.7</v>
      </c>
      <c r="G6" s="61">
        <v>0.5</v>
      </c>
    </row>
    <row r="7" spans="2:7" ht="13.5" thickBot="1">
      <c r="B7" s="310"/>
      <c r="C7" s="16" t="s">
        <v>82</v>
      </c>
      <c r="D7" s="16" t="s">
        <v>178</v>
      </c>
      <c r="E7" s="56" t="s">
        <v>339</v>
      </c>
      <c r="F7" s="223" t="s">
        <v>339</v>
      </c>
      <c r="G7" s="224" t="s">
        <v>339</v>
      </c>
    </row>
    <row r="8" spans="2:7" ht="14.25">
      <c r="B8" s="311" t="s">
        <v>136</v>
      </c>
      <c r="C8" s="31" t="s">
        <v>83</v>
      </c>
      <c r="D8" s="31" t="s">
        <v>176</v>
      </c>
      <c r="E8" s="41">
        <v>5</v>
      </c>
      <c r="F8" s="58">
        <v>0.25</v>
      </c>
      <c r="G8" s="59">
        <v>0.2</v>
      </c>
    </row>
    <row r="9" spans="2:7" ht="14.25">
      <c r="B9" s="312"/>
      <c r="C9" s="4" t="s">
        <v>84</v>
      </c>
      <c r="D9" s="4" t="s">
        <v>176</v>
      </c>
      <c r="E9" s="8">
        <v>5</v>
      </c>
      <c r="F9" s="60">
        <v>0.25</v>
      </c>
      <c r="G9" s="61">
        <v>0.2</v>
      </c>
    </row>
    <row r="10" spans="2:7" ht="15" thickBot="1">
      <c r="B10" s="313"/>
      <c r="C10" s="16" t="s">
        <v>85</v>
      </c>
      <c r="D10" s="16" t="s">
        <v>177</v>
      </c>
      <c r="E10" s="56">
        <v>8</v>
      </c>
      <c r="F10" s="62">
        <v>0.3</v>
      </c>
      <c r="G10" s="63">
        <v>0.25</v>
      </c>
    </row>
    <row r="13" ht="12.75" customHeight="1"/>
  </sheetData>
  <sheetProtection password="8BC1" sheet="1" objects="1" scenarios="1"/>
  <mergeCells count="4">
    <mergeCell ref="B5:B7"/>
    <mergeCell ref="B8:B10"/>
    <mergeCell ref="C3:D3"/>
    <mergeCell ref="C2:E2"/>
  </mergeCells>
  <hyperlinks>
    <hyperlink ref="E3" r:id="rId1" display="zde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legacyDrawing r:id="rId3"/>
  <oleObjects>
    <oleObject progId="Paint.Picture" shapeId="55068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23" customWidth="1"/>
    <col min="2" max="2" width="9.125" style="23" customWidth="1"/>
    <col min="3" max="3" width="27.375" style="23" bestFit="1" customWidth="1"/>
    <col min="4" max="4" width="6.25390625" style="23" hidden="1" customWidth="1"/>
    <col min="5" max="5" width="15.75390625" style="23" customWidth="1"/>
    <col min="6" max="6" width="19.75390625" style="23" customWidth="1"/>
    <col min="7" max="7" width="6.75390625" style="23" customWidth="1"/>
    <col min="8" max="8" width="7.125" style="23" bestFit="1" customWidth="1"/>
    <col min="9" max="11" width="5.75390625" style="23" customWidth="1"/>
    <col min="12" max="12" width="11.375" style="23" hidden="1" customWidth="1"/>
    <col min="13" max="16384" width="9.125" style="23" customWidth="1"/>
  </cols>
  <sheetData>
    <row r="1" ht="9" customHeight="1" thickBot="1"/>
    <row r="2" spans="2:11" ht="30" customHeight="1">
      <c r="B2" s="107"/>
      <c r="C2" s="108"/>
      <c r="D2" s="97"/>
      <c r="E2" s="319" t="s">
        <v>79</v>
      </c>
      <c r="F2" s="319"/>
      <c r="G2" s="319"/>
      <c r="H2" s="319"/>
      <c r="I2" s="319"/>
      <c r="J2" s="319"/>
      <c r="K2" s="320"/>
    </row>
    <row r="3" spans="2:12" ht="39.75" customHeight="1" thickBot="1">
      <c r="B3" s="321" t="s">
        <v>355</v>
      </c>
      <c r="C3" s="322"/>
      <c r="D3" s="132" t="s">
        <v>307</v>
      </c>
      <c r="E3" s="95" t="s">
        <v>80</v>
      </c>
      <c r="F3" s="87" t="s">
        <v>81</v>
      </c>
      <c r="G3" s="95" t="s">
        <v>82</v>
      </c>
      <c r="H3" s="95" t="s">
        <v>85</v>
      </c>
      <c r="I3" s="95" t="s">
        <v>88</v>
      </c>
      <c r="J3" s="95" t="s">
        <v>86</v>
      </c>
      <c r="K3" s="96" t="s">
        <v>87</v>
      </c>
      <c r="L3" s="130" t="s">
        <v>304</v>
      </c>
    </row>
    <row r="4" spans="2:12" ht="12.75">
      <c r="B4" s="316" t="s">
        <v>156</v>
      </c>
      <c r="C4" s="102" t="s">
        <v>180</v>
      </c>
      <c r="D4" s="99" t="s">
        <v>225</v>
      </c>
      <c r="E4" s="234" t="s">
        <v>339</v>
      </c>
      <c r="F4" s="234">
        <v>2.2</v>
      </c>
      <c r="G4" s="234">
        <v>1.5</v>
      </c>
      <c r="H4" s="234" t="s">
        <v>339</v>
      </c>
      <c r="I4" s="234" t="s">
        <v>339</v>
      </c>
      <c r="J4" s="234" t="s">
        <v>339</v>
      </c>
      <c r="K4" s="235" t="s">
        <v>339</v>
      </c>
      <c r="L4" s="131" t="s">
        <v>339</v>
      </c>
    </row>
    <row r="5" spans="2:12" ht="12.75">
      <c r="B5" s="317"/>
      <c r="C5" s="103" t="s">
        <v>203</v>
      </c>
      <c r="D5" s="100" t="s">
        <v>199</v>
      </c>
      <c r="E5" s="236">
        <v>2.4</v>
      </c>
      <c r="F5" s="236">
        <v>3.1</v>
      </c>
      <c r="G5" s="236">
        <v>1.5</v>
      </c>
      <c r="H5" s="236" t="s">
        <v>339</v>
      </c>
      <c r="I5" s="236" t="s">
        <v>339</v>
      </c>
      <c r="J5" s="236" t="s">
        <v>339</v>
      </c>
      <c r="K5" s="237" t="s">
        <v>339</v>
      </c>
      <c r="L5" s="131" t="s">
        <v>339</v>
      </c>
    </row>
    <row r="6" spans="2:12" ht="12.75">
      <c r="B6" s="317"/>
      <c r="C6" s="103" t="s">
        <v>204</v>
      </c>
      <c r="D6" s="100" t="s">
        <v>200</v>
      </c>
      <c r="E6" s="236">
        <v>1.9</v>
      </c>
      <c r="F6" s="236">
        <v>2.5</v>
      </c>
      <c r="G6" s="236">
        <v>1.3</v>
      </c>
      <c r="H6" s="236" t="s">
        <v>339</v>
      </c>
      <c r="I6" s="236" t="s">
        <v>339</v>
      </c>
      <c r="J6" s="236" t="s">
        <v>339</v>
      </c>
      <c r="K6" s="237" t="s">
        <v>339</v>
      </c>
      <c r="L6" s="131" t="s">
        <v>339</v>
      </c>
    </row>
    <row r="7" spans="2:12" ht="12.75">
      <c r="B7" s="317"/>
      <c r="C7" s="103" t="s">
        <v>205</v>
      </c>
      <c r="D7" s="100" t="s">
        <v>201</v>
      </c>
      <c r="E7" s="236" t="s">
        <v>339</v>
      </c>
      <c r="F7" s="236" t="s">
        <v>339</v>
      </c>
      <c r="G7" s="236" t="s">
        <v>339</v>
      </c>
      <c r="H7" s="236">
        <v>2.1</v>
      </c>
      <c r="I7" s="236" t="s">
        <v>339</v>
      </c>
      <c r="J7" s="236">
        <v>2.8</v>
      </c>
      <c r="K7" s="237">
        <v>2.2</v>
      </c>
      <c r="L7" s="131" t="s">
        <v>339</v>
      </c>
    </row>
    <row r="8" spans="2:12" ht="12.75">
      <c r="B8" s="317"/>
      <c r="C8" s="103" t="s">
        <v>206</v>
      </c>
      <c r="D8" s="100" t="s">
        <v>202</v>
      </c>
      <c r="E8" s="236" t="s">
        <v>339</v>
      </c>
      <c r="F8" s="236" t="s">
        <v>339</v>
      </c>
      <c r="G8" s="236" t="s">
        <v>339</v>
      </c>
      <c r="H8" s="236" t="s">
        <v>339</v>
      </c>
      <c r="I8" s="236" t="s">
        <v>339</v>
      </c>
      <c r="J8" s="236">
        <v>2.3</v>
      </c>
      <c r="K8" s="237">
        <v>1.8</v>
      </c>
      <c r="L8" s="131" t="s">
        <v>339</v>
      </c>
    </row>
    <row r="9" spans="2:12" ht="12.75">
      <c r="B9" s="317"/>
      <c r="C9" s="103" t="s">
        <v>181</v>
      </c>
      <c r="D9" s="100" t="s">
        <v>207</v>
      </c>
      <c r="E9" s="236">
        <v>2.8</v>
      </c>
      <c r="F9" s="236">
        <v>3.6</v>
      </c>
      <c r="G9" s="236">
        <v>1.8</v>
      </c>
      <c r="H9" s="236" t="s">
        <v>339</v>
      </c>
      <c r="I9" s="236" t="s">
        <v>339</v>
      </c>
      <c r="J9" s="236" t="s">
        <v>339</v>
      </c>
      <c r="K9" s="237" t="s">
        <v>339</v>
      </c>
      <c r="L9" s="131" t="s">
        <v>339</v>
      </c>
    </row>
    <row r="10" spans="2:12" ht="12.75">
      <c r="B10" s="317"/>
      <c r="C10" s="103" t="s">
        <v>182</v>
      </c>
      <c r="D10" s="100" t="s">
        <v>208</v>
      </c>
      <c r="E10" s="236">
        <v>2.4</v>
      </c>
      <c r="F10" s="236">
        <v>3.1</v>
      </c>
      <c r="G10" s="236">
        <v>1.5</v>
      </c>
      <c r="H10" s="236" t="s">
        <v>339</v>
      </c>
      <c r="I10" s="236" t="s">
        <v>339</v>
      </c>
      <c r="J10" s="236" t="s">
        <v>339</v>
      </c>
      <c r="K10" s="237" t="s">
        <v>339</v>
      </c>
      <c r="L10" s="131" t="s">
        <v>339</v>
      </c>
    </row>
    <row r="11" spans="2:12" ht="12.75">
      <c r="B11" s="317"/>
      <c r="C11" s="103" t="s">
        <v>363</v>
      </c>
      <c r="D11" s="100" t="s">
        <v>226</v>
      </c>
      <c r="E11" s="236" t="s">
        <v>339</v>
      </c>
      <c r="F11" s="236" t="s">
        <v>339</v>
      </c>
      <c r="G11" s="236">
        <v>2.4</v>
      </c>
      <c r="H11" s="236" t="s">
        <v>339</v>
      </c>
      <c r="I11" s="236" t="s">
        <v>339</v>
      </c>
      <c r="J11" s="236" t="s">
        <v>339</v>
      </c>
      <c r="K11" s="237" t="s">
        <v>339</v>
      </c>
      <c r="L11" s="131" t="s">
        <v>339</v>
      </c>
    </row>
    <row r="12" spans="2:12" ht="12.75">
      <c r="B12" s="317"/>
      <c r="C12" s="103" t="s">
        <v>353</v>
      </c>
      <c r="D12" s="100" t="s">
        <v>209</v>
      </c>
      <c r="E12" s="236" t="s">
        <v>339</v>
      </c>
      <c r="F12" s="236" t="s">
        <v>339</v>
      </c>
      <c r="G12" s="236" t="s">
        <v>339</v>
      </c>
      <c r="H12" s="236" t="s">
        <v>339</v>
      </c>
      <c r="I12" s="236" t="s">
        <v>339</v>
      </c>
      <c r="J12" s="236" t="s">
        <v>339</v>
      </c>
      <c r="K12" s="237">
        <v>2.2</v>
      </c>
      <c r="L12" s="131" t="s">
        <v>339</v>
      </c>
    </row>
    <row r="13" spans="2:12" ht="12.75">
      <c r="B13" s="317"/>
      <c r="C13" s="103" t="s">
        <v>354</v>
      </c>
      <c r="D13" s="100" t="s">
        <v>210</v>
      </c>
      <c r="E13" s="236" t="s">
        <v>339</v>
      </c>
      <c r="F13" s="236" t="s">
        <v>339</v>
      </c>
      <c r="G13" s="236" t="s">
        <v>339</v>
      </c>
      <c r="H13" s="236" t="s">
        <v>339</v>
      </c>
      <c r="I13" s="236" t="s">
        <v>339</v>
      </c>
      <c r="J13" s="236" t="s">
        <v>339</v>
      </c>
      <c r="K13" s="237">
        <v>1.9</v>
      </c>
      <c r="L13" s="131" t="s">
        <v>339</v>
      </c>
    </row>
    <row r="14" spans="2:12" ht="12.75">
      <c r="B14" s="317"/>
      <c r="C14" s="103" t="s">
        <v>356</v>
      </c>
      <c r="D14" s="100" t="s">
        <v>227</v>
      </c>
      <c r="E14" s="236" t="s">
        <v>339</v>
      </c>
      <c r="F14" s="236" t="s">
        <v>339</v>
      </c>
      <c r="G14" s="236" t="s">
        <v>339</v>
      </c>
      <c r="H14" s="236" t="s">
        <v>339</v>
      </c>
      <c r="I14" s="236" t="s">
        <v>339</v>
      </c>
      <c r="J14" s="236" t="s">
        <v>339</v>
      </c>
      <c r="K14" s="237" t="s">
        <v>339</v>
      </c>
      <c r="L14" s="131" t="s">
        <v>339</v>
      </c>
    </row>
    <row r="15" spans="2:12" ht="12.75">
      <c r="B15" s="317"/>
      <c r="C15" s="103" t="s">
        <v>29</v>
      </c>
      <c r="D15" s="100" t="s">
        <v>179</v>
      </c>
      <c r="E15" s="236" t="s">
        <v>339</v>
      </c>
      <c r="F15" s="236" t="s">
        <v>339</v>
      </c>
      <c r="G15" s="236" t="s">
        <v>339</v>
      </c>
      <c r="H15" s="236" t="s">
        <v>339</v>
      </c>
      <c r="I15" s="236" t="s">
        <v>339</v>
      </c>
      <c r="J15" s="236" t="s">
        <v>339</v>
      </c>
      <c r="K15" s="237" t="s">
        <v>339</v>
      </c>
      <c r="L15" s="131"/>
    </row>
    <row r="16" spans="2:12" ht="12.75">
      <c r="B16" s="317"/>
      <c r="C16" s="103" t="s">
        <v>183</v>
      </c>
      <c r="D16" s="100" t="s">
        <v>212</v>
      </c>
      <c r="E16" s="236" t="s">
        <v>339</v>
      </c>
      <c r="F16" s="236" t="s">
        <v>339</v>
      </c>
      <c r="G16" s="236" t="s">
        <v>339</v>
      </c>
      <c r="H16" s="236" t="s">
        <v>339</v>
      </c>
      <c r="I16" s="236" t="s">
        <v>339</v>
      </c>
      <c r="J16" s="236" t="s">
        <v>339</v>
      </c>
      <c r="K16" s="237" t="s">
        <v>339</v>
      </c>
      <c r="L16" s="131" t="s">
        <v>339</v>
      </c>
    </row>
    <row r="17" spans="2:12" ht="12.75">
      <c r="B17" s="317"/>
      <c r="C17" s="103" t="s">
        <v>184</v>
      </c>
      <c r="D17" s="100" t="s">
        <v>211</v>
      </c>
      <c r="E17" s="236" t="s">
        <v>339</v>
      </c>
      <c r="F17" s="236" t="s">
        <v>339</v>
      </c>
      <c r="G17" s="236" t="s">
        <v>339</v>
      </c>
      <c r="H17" s="236" t="s">
        <v>339</v>
      </c>
      <c r="I17" s="236" t="s">
        <v>339</v>
      </c>
      <c r="J17" s="236" t="s">
        <v>339</v>
      </c>
      <c r="K17" s="237" t="s">
        <v>339</v>
      </c>
      <c r="L17" s="131" t="s">
        <v>339</v>
      </c>
    </row>
    <row r="18" spans="2:12" ht="12.75">
      <c r="B18" s="317"/>
      <c r="C18" s="103" t="s">
        <v>43</v>
      </c>
      <c r="D18" s="100" t="s">
        <v>228</v>
      </c>
      <c r="E18" s="236" t="s">
        <v>339</v>
      </c>
      <c r="F18" s="236" t="s">
        <v>339</v>
      </c>
      <c r="G18" s="236" t="s">
        <v>339</v>
      </c>
      <c r="H18" s="236" t="s">
        <v>339</v>
      </c>
      <c r="I18" s="236" t="s">
        <v>339</v>
      </c>
      <c r="J18" s="236" t="s">
        <v>339</v>
      </c>
      <c r="K18" s="237" t="s">
        <v>339</v>
      </c>
      <c r="L18" s="131" t="s">
        <v>339</v>
      </c>
    </row>
    <row r="19" spans="2:12" ht="12.75">
      <c r="B19" s="317"/>
      <c r="C19" s="103" t="s">
        <v>187</v>
      </c>
      <c r="D19" s="100" t="s">
        <v>213</v>
      </c>
      <c r="E19" s="236">
        <v>2.8</v>
      </c>
      <c r="F19" s="236">
        <v>3.6</v>
      </c>
      <c r="G19" s="236">
        <v>1.8</v>
      </c>
      <c r="H19" s="236" t="s">
        <v>339</v>
      </c>
      <c r="I19" s="236" t="s">
        <v>339</v>
      </c>
      <c r="J19" s="236" t="s">
        <v>339</v>
      </c>
      <c r="K19" s="237" t="s">
        <v>339</v>
      </c>
      <c r="L19" s="131" t="s">
        <v>339</v>
      </c>
    </row>
    <row r="20" spans="2:12" ht="12.75">
      <c r="B20" s="317"/>
      <c r="C20" s="103" t="s">
        <v>188</v>
      </c>
      <c r="D20" s="100" t="s">
        <v>214</v>
      </c>
      <c r="E20" s="236">
        <v>2.4</v>
      </c>
      <c r="F20" s="236">
        <v>3.1</v>
      </c>
      <c r="G20" s="236">
        <v>1.5</v>
      </c>
      <c r="H20" s="236" t="s">
        <v>339</v>
      </c>
      <c r="I20" s="236" t="s">
        <v>339</v>
      </c>
      <c r="J20" s="236" t="s">
        <v>339</v>
      </c>
      <c r="K20" s="237" t="s">
        <v>339</v>
      </c>
      <c r="L20" s="131" t="s">
        <v>339</v>
      </c>
    </row>
    <row r="21" spans="2:12" ht="12.75">
      <c r="B21" s="317"/>
      <c r="C21" s="103" t="s">
        <v>50</v>
      </c>
      <c r="D21" s="100" t="s">
        <v>229</v>
      </c>
      <c r="E21" s="236" t="s">
        <v>339</v>
      </c>
      <c r="F21" s="236" t="s">
        <v>339</v>
      </c>
      <c r="G21" s="236">
        <v>2.5</v>
      </c>
      <c r="H21" s="236" t="s">
        <v>339</v>
      </c>
      <c r="I21" s="236" t="s">
        <v>339</v>
      </c>
      <c r="J21" s="236" t="s">
        <v>339</v>
      </c>
      <c r="K21" s="237" t="s">
        <v>339</v>
      </c>
      <c r="L21" s="131" t="s">
        <v>339</v>
      </c>
    </row>
    <row r="22" spans="2:12" ht="12.75">
      <c r="B22" s="317"/>
      <c r="C22" s="103" t="s">
        <v>185</v>
      </c>
      <c r="D22" s="100" t="s">
        <v>215</v>
      </c>
      <c r="E22" s="236" t="s">
        <v>339</v>
      </c>
      <c r="F22" s="236" t="s">
        <v>339</v>
      </c>
      <c r="G22" s="236" t="s">
        <v>339</v>
      </c>
      <c r="H22" s="236" t="s">
        <v>339</v>
      </c>
      <c r="I22" s="236" t="s">
        <v>339</v>
      </c>
      <c r="J22" s="236" t="s">
        <v>339</v>
      </c>
      <c r="K22" s="237" t="s">
        <v>339</v>
      </c>
      <c r="L22" s="131" t="s">
        <v>339</v>
      </c>
    </row>
    <row r="23" spans="2:12" ht="12.75">
      <c r="B23" s="317"/>
      <c r="C23" s="103" t="s">
        <v>186</v>
      </c>
      <c r="D23" s="100" t="s">
        <v>216</v>
      </c>
      <c r="E23" s="236" t="s">
        <v>339</v>
      </c>
      <c r="F23" s="236" t="s">
        <v>339</v>
      </c>
      <c r="G23" s="236" t="s">
        <v>339</v>
      </c>
      <c r="H23" s="236" t="s">
        <v>339</v>
      </c>
      <c r="I23" s="236" t="s">
        <v>339</v>
      </c>
      <c r="J23" s="236" t="s">
        <v>339</v>
      </c>
      <c r="K23" s="237" t="s">
        <v>339</v>
      </c>
      <c r="L23" s="131" t="s">
        <v>339</v>
      </c>
    </row>
    <row r="24" spans="2:12" ht="12.75">
      <c r="B24" s="317"/>
      <c r="C24" s="103" t="s">
        <v>51</v>
      </c>
      <c r="D24" s="100" t="s">
        <v>230</v>
      </c>
      <c r="E24" s="236" t="s">
        <v>339</v>
      </c>
      <c r="F24" s="236" t="s">
        <v>339</v>
      </c>
      <c r="G24" s="236" t="s">
        <v>339</v>
      </c>
      <c r="H24" s="236" t="s">
        <v>339</v>
      </c>
      <c r="I24" s="236" t="s">
        <v>339</v>
      </c>
      <c r="J24" s="236" t="s">
        <v>339</v>
      </c>
      <c r="K24" s="237" t="s">
        <v>339</v>
      </c>
      <c r="L24" s="131" t="s">
        <v>339</v>
      </c>
    </row>
    <row r="25" spans="2:12" ht="12.75">
      <c r="B25" s="317"/>
      <c r="C25" s="103" t="s">
        <v>189</v>
      </c>
      <c r="D25" s="100" t="s">
        <v>217</v>
      </c>
      <c r="E25" s="236">
        <v>2.9</v>
      </c>
      <c r="F25" s="236" t="s">
        <v>339</v>
      </c>
      <c r="G25" s="236">
        <v>1.9</v>
      </c>
      <c r="H25" s="236" t="s">
        <v>339</v>
      </c>
      <c r="I25" s="236" t="s">
        <v>339</v>
      </c>
      <c r="J25" s="236" t="s">
        <v>339</v>
      </c>
      <c r="K25" s="237" t="s">
        <v>339</v>
      </c>
      <c r="L25" s="131" t="s">
        <v>339</v>
      </c>
    </row>
    <row r="26" spans="2:12" ht="12.75">
      <c r="B26" s="317"/>
      <c r="C26" s="103" t="s">
        <v>190</v>
      </c>
      <c r="D26" s="100" t="s">
        <v>218</v>
      </c>
      <c r="E26" s="236">
        <v>2.5</v>
      </c>
      <c r="F26" s="236" t="s">
        <v>339</v>
      </c>
      <c r="G26" s="236">
        <v>1.6</v>
      </c>
      <c r="H26" s="236" t="s">
        <v>339</v>
      </c>
      <c r="I26" s="236" t="s">
        <v>339</v>
      </c>
      <c r="J26" s="236" t="s">
        <v>339</v>
      </c>
      <c r="K26" s="237" t="s">
        <v>339</v>
      </c>
      <c r="L26" s="131" t="s">
        <v>339</v>
      </c>
    </row>
    <row r="27" spans="2:12" ht="12.75">
      <c r="B27" s="317"/>
      <c r="C27" s="103" t="s">
        <v>191</v>
      </c>
      <c r="D27" s="100" t="s">
        <v>219</v>
      </c>
      <c r="E27" s="236" t="s">
        <v>339</v>
      </c>
      <c r="F27" s="236" t="s">
        <v>339</v>
      </c>
      <c r="G27" s="236" t="s">
        <v>339</v>
      </c>
      <c r="H27" s="236" t="s">
        <v>339</v>
      </c>
      <c r="I27" s="236" t="s">
        <v>339</v>
      </c>
      <c r="J27" s="236" t="s">
        <v>339</v>
      </c>
      <c r="K27" s="237" t="s">
        <v>339</v>
      </c>
      <c r="L27" s="131" t="s">
        <v>339</v>
      </c>
    </row>
    <row r="28" spans="2:12" ht="12.75">
      <c r="B28" s="317"/>
      <c r="C28" s="103" t="s">
        <v>192</v>
      </c>
      <c r="D28" s="100" t="s">
        <v>220</v>
      </c>
      <c r="E28" s="236" t="s">
        <v>339</v>
      </c>
      <c r="F28" s="236" t="s">
        <v>339</v>
      </c>
      <c r="G28" s="236" t="s">
        <v>339</v>
      </c>
      <c r="H28" s="236" t="s">
        <v>339</v>
      </c>
      <c r="I28" s="236" t="s">
        <v>339</v>
      </c>
      <c r="J28" s="236" t="s">
        <v>339</v>
      </c>
      <c r="K28" s="237" t="s">
        <v>339</v>
      </c>
      <c r="L28" s="131" t="s">
        <v>339</v>
      </c>
    </row>
    <row r="29" spans="2:12" ht="12.75">
      <c r="B29" s="317"/>
      <c r="C29" s="104" t="s">
        <v>195</v>
      </c>
      <c r="D29" s="101" t="s">
        <v>221</v>
      </c>
      <c r="E29" s="236">
        <v>3</v>
      </c>
      <c r="F29" s="236" t="s">
        <v>339</v>
      </c>
      <c r="G29" s="236">
        <v>2</v>
      </c>
      <c r="H29" s="236" t="s">
        <v>339</v>
      </c>
      <c r="I29" s="236" t="s">
        <v>339</v>
      </c>
      <c r="J29" s="236" t="s">
        <v>339</v>
      </c>
      <c r="K29" s="237" t="s">
        <v>339</v>
      </c>
      <c r="L29" s="131" t="s">
        <v>339</v>
      </c>
    </row>
    <row r="30" spans="2:12" ht="12.75">
      <c r="B30" s="317"/>
      <c r="C30" s="104" t="s">
        <v>196</v>
      </c>
      <c r="D30" s="101" t="s">
        <v>222</v>
      </c>
      <c r="E30" s="236">
        <v>2.6</v>
      </c>
      <c r="F30" s="236" t="s">
        <v>339</v>
      </c>
      <c r="G30" s="236">
        <v>1.7</v>
      </c>
      <c r="H30" s="236" t="s">
        <v>339</v>
      </c>
      <c r="I30" s="236" t="s">
        <v>339</v>
      </c>
      <c r="J30" s="236" t="s">
        <v>339</v>
      </c>
      <c r="K30" s="237" t="s">
        <v>339</v>
      </c>
      <c r="L30" s="131" t="s">
        <v>339</v>
      </c>
    </row>
    <row r="31" spans="2:12" ht="12.75">
      <c r="B31" s="317"/>
      <c r="C31" s="104" t="s">
        <v>193</v>
      </c>
      <c r="D31" s="101" t="s">
        <v>223</v>
      </c>
      <c r="E31" s="236" t="s">
        <v>339</v>
      </c>
      <c r="F31" s="236" t="s">
        <v>339</v>
      </c>
      <c r="G31" s="236" t="s">
        <v>339</v>
      </c>
      <c r="H31" s="236" t="s">
        <v>339</v>
      </c>
      <c r="I31" s="236">
        <v>3</v>
      </c>
      <c r="J31" s="236" t="s">
        <v>339</v>
      </c>
      <c r="K31" s="237">
        <v>2.4</v>
      </c>
      <c r="L31" s="131" t="s">
        <v>339</v>
      </c>
    </row>
    <row r="32" spans="2:12" ht="12.75">
      <c r="B32" s="317"/>
      <c r="C32" s="104" t="s">
        <v>194</v>
      </c>
      <c r="D32" s="101" t="s">
        <v>224</v>
      </c>
      <c r="E32" s="236" t="s">
        <v>339</v>
      </c>
      <c r="F32" s="236" t="s">
        <v>339</v>
      </c>
      <c r="G32" s="236" t="s">
        <v>339</v>
      </c>
      <c r="H32" s="236" t="s">
        <v>339</v>
      </c>
      <c r="I32" s="236">
        <v>2.6</v>
      </c>
      <c r="J32" s="236" t="s">
        <v>339</v>
      </c>
      <c r="K32" s="237">
        <v>2.1</v>
      </c>
      <c r="L32" s="131" t="s">
        <v>339</v>
      </c>
    </row>
    <row r="33" spans="2:12" ht="12.75">
      <c r="B33" s="317"/>
      <c r="C33" s="104" t="s">
        <v>56</v>
      </c>
      <c r="D33" s="100" t="s">
        <v>338</v>
      </c>
      <c r="E33" s="236" t="s">
        <v>339</v>
      </c>
      <c r="F33" s="236" t="s">
        <v>339</v>
      </c>
      <c r="G33" s="236">
        <v>2</v>
      </c>
      <c r="H33" s="236" t="s">
        <v>339</v>
      </c>
      <c r="I33" s="236" t="s">
        <v>339</v>
      </c>
      <c r="J33" s="236" t="s">
        <v>339</v>
      </c>
      <c r="K33" s="237" t="s">
        <v>339</v>
      </c>
      <c r="L33" s="131" t="s">
        <v>339</v>
      </c>
    </row>
    <row r="34" spans="2:12" ht="12.75">
      <c r="B34" s="317"/>
      <c r="C34" s="105" t="s">
        <v>117</v>
      </c>
      <c r="D34" s="100" t="s">
        <v>179</v>
      </c>
      <c r="E34" s="236" t="s">
        <v>339</v>
      </c>
      <c r="F34" s="236" t="s">
        <v>339</v>
      </c>
      <c r="G34" s="236" t="s">
        <v>339</v>
      </c>
      <c r="H34" s="236" t="s">
        <v>339</v>
      </c>
      <c r="I34" s="236" t="s">
        <v>339</v>
      </c>
      <c r="J34" s="236" t="s">
        <v>339</v>
      </c>
      <c r="K34" s="237" t="s">
        <v>339</v>
      </c>
      <c r="L34" s="131" t="s">
        <v>339</v>
      </c>
    </row>
    <row r="35" spans="2:12" ht="12.75">
      <c r="B35" s="317"/>
      <c r="C35" s="104" t="s">
        <v>89</v>
      </c>
      <c r="D35" s="100" t="s">
        <v>337</v>
      </c>
      <c r="E35" s="236" t="s">
        <v>339</v>
      </c>
      <c r="F35" s="236" t="s">
        <v>339</v>
      </c>
      <c r="G35" s="236">
        <v>2.5</v>
      </c>
      <c r="H35" s="236" t="s">
        <v>339</v>
      </c>
      <c r="I35" s="236" t="s">
        <v>339</v>
      </c>
      <c r="J35" s="236" t="s">
        <v>339</v>
      </c>
      <c r="K35" s="237" t="s">
        <v>339</v>
      </c>
      <c r="L35" s="131" t="s">
        <v>339</v>
      </c>
    </row>
    <row r="36" spans="2:12" ht="12.75">
      <c r="B36" s="317"/>
      <c r="C36" s="104" t="s">
        <v>90</v>
      </c>
      <c r="D36" s="100" t="s">
        <v>179</v>
      </c>
      <c r="E36" s="236" t="s">
        <v>339</v>
      </c>
      <c r="F36" s="236" t="s">
        <v>339</v>
      </c>
      <c r="G36" s="236" t="s">
        <v>339</v>
      </c>
      <c r="H36" s="236" t="s">
        <v>339</v>
      </c>
      <c r="I36" s="236" t="s">
        <v>339</v>
      </c>
      <c r="J36" s="236" t="s">
        <v>339</v>
      </c>
      <c r="K36" s="237" t="s">
        <v>339</v>
      </c>
      <c r="L36" s="131" t="s">
        <v>339</v>
      </c>
    </row>
    <row r="37" spans="2:12" ht="12.75">
      <c r="B37" s="317"/>
      <c r="C37" s="104" t="s">
        <v>197</v>
      </c>
      <c r="D37" s="100" t="s">
        <v>179</v>
      </c>
      <c r="E37" s="236" t="s">
        <v>339</v>
      </c>
      <c r="F37" s="236" t="s">
        <v>339</v>
      </c>
      <c r="G37" s="236" t="s">
        <v>339</v>
      </c>
      <c r="H37" s="236" t="s">
        <v>339</v>
      </c>
      <c r="I37" s="236" t="s">
        <v>339</v>
      </c>
      <c r="J37" s="236" t="s">
        <v>339</v>
      </c>
      <c r="K37" s="237" t="s">
        <v>339</v>
      </c>
      <c r="L37" s="131" t="s">
        <v>339</v>
      </c>
    </row>
    <row r="38" spans="2:12" ht="12.75">
      <c r="B38" s="317"/>
      <c r="C38" s="104" t="s">
        <v>198</v>
      </c>
      <c r="D38" s="100" t="s">
        <v>179</v>
      </c>
      <c r="E38" s="236" t="s">
        <v>339</v>
      </c>
      <c r="F38" s="236" t="s">
        <v>339</v>
      </c>
      <c r="G38" s="236" t="s">
        <v>339</v>
      </c>
      <c r="H38" s="236" t="s">
        <v>339</v>
      </c>
      <c r="I38" s="236" t="s">
        <v>339</v>
      </c>
      <c r="J38" s="236" t="s">
        <v>339</v>
      </c>
      <c r="K38" s="237" t="s">
        <v>339</v>
      </c>
      <c r="L38" s="131" t="s">
        <v>339</v>
      </c>
    </row>
    <row r="39" spans="2:12" ht="12.75">
      <c r="B39" s="317"/>
      <c r="C39" s="104" t="s">
        <v>64</v>
      </c>
      <c r="D39" s="100" t="s">
        <v>179</v>
      </c>
      <c r="E39" s="236" t="s">
        <v>339</v>
      </c>
      <c r="F39" s="236" t="s">
        <v>339</v>
      </c>
      <c r="G39" s="236" t="s">
        <v>339</v>
      </c>
      <c r="H39" s="236" t="s">
        <v>339</v>
      </c>
      <c r="I39" s="236" t="s">
        <v>339</v>
      </c>
      <c r="J39" s="236" t="s">
        <v>339</v>
      </c>
      <c r="K39" s="237" t="s">
        <v>339</v>
      </c>
      <c r="L39" s="131" t="s">
        <v>339</v>
      </c>
    </row>
    <row r="40" spans="2:12" ht="12.75">
      <c r="B40" s="317"/>
      <c r="C40" s="104" t="s">
        <v>73</v>
      </c>
      <c r="D40" s="100" t="s">
        <v>179</v>
      </c>
      <c r="E40" s="236" t="s">
        <v>339</v>
      </c>
      <c r="F40" s="236" t="s">
        <v>339</v>
      </c>
      <c r="G40" s="236" t="s">
        <v>339</v>
      </c>
      <c r="H40" s="236" t="s">
        <v>339</v>
      </c>
      <c r="I40" s="236" t="s">
        <v>339</v>
      </c>
      <c r="J40" s="236" t="s">
        <v>339</v>
      </c>
      <c r="K40" s="237" t="s">
        <v>339</v>
      </c>
      <c r="L40" s="131" t="s">
        <v>339</v>
      </c>
    </row>
    <row r="41" spans="2:12" ht="13.5" thickBot="1">
      <c r="B41" s="318"/>
      <c r="C41" s="106" t="s">
        <v>308</v>
      </c>
      <c r="D41" s="98" t="s">
        <v>179</v>
      </c>
      <c r="E41" s="238" t="s">
        <v>339</v>
      </c>
      <c r="F41" s="238" t="s">
        <v>339</v>
      </c>
      <c r="G41" s="238" t="s">
        <v>339</v>
      </c>
      <c r="H41" s="238" t="s">
        <v>339</v>
      </c>
      <c r="I41" s="238" t="s">
        <v>339</v>
      </c>
      <c r="J41" s="238" t="s">
        <v>339</v>
      </c>
      <c r="K41" s="239" t="s">
        <v>339</v>
      </c>
      <c r="L41" s="131" t="s">
        <v>339</v>
      </c>
    </row>
  </sheetData>
  <sheetProtection password="8BC1" sheet="1" objects="1" scenarios="1"/>
  <mergeCells count="3">
    <mergeCell ref="B4:B41"/>
    <mergeCell ref="E2:K2"/>
    <mergeCell ref="B3:C3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3" r:id="rId3"/>
  <legacyDrawing r:id="rId2"/>
  <oleObjects>
    <oleObject progId="Paint.Picture" shapeId="34320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3" max="3" width="14.125" style="0" bestFit="1" customWidth="1"/>
    <col min="4" max="4" width="21.375" style="0" bestFit="1" customWidth="1"/>
    <col min="5" max="5" width="22.125" style="0" bestFit="1" customWidth="1"/>
    <col min="6" max="6" width="23.00390625" style="0" bestFit="1" customWidth="1"/>
  </cols>
  <sheetData>
    <row r="1" ht="9" customHeight="1" thickBot="1"/>
    <row r="2" spans="2:6" ht="20.25" customHeight="1" thickBot="1">
      <c r="B2" s="329" t="s">
        <v>301</v>
      </c>
      <c r="C2" s="330"/>
      <c r="D2" s="330"/>
      <c r="E2" s="330"/>
      <c r="F2" s="331"/>
    </row>
    <row r="3" ht="9" customHeight="1"/>
    <row r="4" ht="9" customHeight="1" thickBot="1"/>
    <row r="5" spans="2:6" ht="13.5" thickBot="1">
      <c r="B5" s="332" t="s">
        <v>126</v>
      </c>
      <c r="C5" s="334" t="s">
        <v>325</v>
      </c>
      <c r="D5" s="335"/>
      <c r="E5" s="335"/>
      <c r="F5" s="336"/>
    </row>
    <row r="6" spans="2:6" ht="13.5" thickBot="1">
      <c r="B6" s="333"/>
      <c r="C6" s="120" t="s">
        <v>125</v>
      </c>
      <c r="D6" s="121" t="s">
        <v>178</v>
      </c>
      <c r="E6" s="122" t="s">
        <v>173</v>
      </c>
      <c r="F6" s="123" t="s">
        <v>174</v>
      </c>
    </row>
    <row r="7" spans="2:6" ht="12.75">
      <c r="B7" s="86">
        <v>1</v>
      </c>
      <c r="C7" s="84">
        <v>0.55</v>
      </c>
      <c r="D7" s="82">
        <v>0.75</v>
      </c>
      <c r="E7" s="82">
        <v>0.3</v>
      </c>
      <c r="F7" s="83">
        <v>0.4</v>
      </c>
    </row>
    <row r="8" spans="2:6" ht="12.75">
      <c r="B8" s="86">
        <v>2</v>
      </c>
      <c r="C8" s="84">
        <v>0.45</v>
      </c>
      <c r="D8" s="82">
        <v>0.7</v>
      </c>
      <c r="E8" s="82">
        <v>0.25</v>
      </c>
      <c r="F8" s="83">
        <v>0.3</v>
      </c>
    </row>
    <row r="9" spans="2:6" ht="13.5" thickBot="1">
      <c r="B9" s="64">
        <v>3</v>
      </c>
      <c r="C9" s="85">
        <v>0.35</v>
      </c>
      <c r="D9" s="80">
        <v>0.5</v>
      </c>
      <c r="E9" s="80">
        <v>0.2</v>
      </c>
      <c r="F9" s="81">
        <v>0.25</v>
      </c>
    </row>
    <row r="10" ht="13.5" thickBot="1"/>
    <row r="11" spans="2:9" ht="13.5" thickBot="1">
      <c r="B11" s="334" t="s">
        <v>319</v>
      </c>
      <c r="C11" s="335"/>
      <c r="D11" s="335"/>
      <c r="E11" s="335"/>
      <c r="F11" s="336"/>
      <c r="G11" s="116"/>
      <c r="H11" s="116"/>
      <c r="I11" s="116"/>
    </row>
    <row r="12" spans="2:9" ht="13.5" thickBot="1">
      <c r="B12" s="337" t="s">
        <v>240</v>
      </c>
      <c r="C12" s="338"/>
      <c r="D12" s="339"/>
      <c r="E12" s="120" t="s">
        <v>241</v>
      </c>
      <c r="F12" s="119" t="s">
        <v>242</v>
      </c>
      <c r="G12" s="92"/>
      <c r="H12" s="114"/>
      <c r="I12" s="114"/>
    </row>
    <row r="13" spans="2:9" ht="67.5" customHeight="1">
      <c r="B13" s="340" t="s">
        <v>252</v>
      </c>
      <c r="C13" s="341"/>
      <c r="D13" s="342"/>
      <c r="E13" s="124" t="s">
        <v>243</v>
      </c>
      <c r="F13" s="83">
        <v>0.75</v>
      </c>
      <c r="G13" s="115"/>
      <c r="H13" s="114"/>
      <c r="I13" s="114"/>
    </row>
    <row r="14" spans="2:9" ht="80.25" customHeight="1">
      <c r="B14" s="323" t="s">
        <v>253</v>
      </c>
      <c r="C14" s="324"/>
      <c r="D14" s="325"/>
      <c r="E14" s="125" t="s">
        <v>243</v>
      </c>
      <c r="F14" s="111">
        <v>1</v>
      </c>
      <c r="G14" s="115"/>
      <c r="H14" s="114"/>
      <c r="I14" s="114"/>
    </row>
    <row r="15" spans="2:9" ht="45" customHeight="1">
      <c r="B15" s="323" t="s">
        <v>254</v>
      </c>
      <c r="C15" s="324"/>
      <c r="D15" s="325"/>
      <c r="E15" s="126" t="s">
        <v>243</v>
      </c>
      <c r="F15" s="117">
        <v>1</v>
      </c>
      <c r="G15" s="92"/>
      <c r="H15" s="114"/>
      <c r="I15" s="114"/>
    </row>
    <row r="16" spans="2:9" ht="90" customHeight="1">
      <c r="B16" s="323" t="s">
        <v>244</v>
      </c>
      <c r="C16" s="324"/>
      <c r="D16" s="325"/>
      <c r="E16" s="112"/>
      <c r="F16" s="113"/>
      <c r="G16" s="92"/>
      <c r="H16" s="114"/>
      <c r="I16" s="114"/>
    </row>
    <row r="17" spans="2:9" ht="90" customHeight="1" thickBot="1">
      <c r="B17" s="326" t="s">
        <v>245</v>
      </c>
      <c r="C17" s="327"/>
      <c r="D17" s="328"/>
      <c r="E17" s="127"/>
      <c r="F17" s="118"/>
      <c r="G17" s="92"/>
      <c r="H17" s="114"/>
      <c r="I17" s="114"/>
    </row>
  </sheetData>
  <sheetProtection password="8BC1" sheet="1" objects="1" scenarios="1"/>
  <mergeCells count="10">
    <mergeCell ref="B15:D15"/>
    <mergeCell ref="B16:D16"/>
    <mergeCell ref="B17:D17"/>
    <mergeCell ref="B2:F2"/>
    <mergeCell ref="B5:B6"/>
    <mergeCell ref="C5:F5"/>
    <mergeCell ref="B11:F11"/>
    <mergeCell ref="B12:D12"/>
    <mergeCell ref="B13:D13"/>
    <mergeCell ref="B14:D14"/>
  </mergeCells>
  <printOptions/>
  <pageMargins left="0.75" right="0.75" top="1" bottom="1" header="0.4921259845" footer="0.4921259845"/>
  <pageSetup fitToHeight="1" fitToWidth="1" horizontalDpi="600" verticalDpi="600" orientation="portrait" paperSize="9" scale="96" r:id="rId4"/>
  <legacyDrawing r:id="rId3"/>
  <oleObjects>
    <oleObject progId="Equation.DSMT4" shapeId="1087887" r:id="rId1"/>
    <oleObject progId="Equation.DSMT4" shapeId="108788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C26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2" width="1.75390625" style="0" customWidth="1"/>
    <col min="3" max="3" width="89.625" style="0" bestFit="1" customWidth="1"/>
  </cols>
  <sheetData>
    <row r="1" ht="9" customHeight="1"/>
    <row r="2" spans="2:3" ht="9" customHeight="1">
      <c r="B2" s="65"/>
      <c r="C2" s="66"/>
    </row>
    <row r="3" spans="2:3" ht="12.75">
      <c r="B3" s="67"/>
      <c r="C3" s="68"/>
    </row>
    <row r="4" spans="2:3" ht="12.75">
      <c r="B4" s="67"/>
      <c r="C4" s="68"/>
    </row>
    <row r="5" spans="2:3" ht="12.75">
      <c r="B5" s="67"/>
      <c r="C5" s="68"/>
    </row>
    <row r="6" spans="2:3" ht="12.75">
      <c r="B6" s="67"/>
      <c r="C6" s="68"/>
    </row>
    <row r="7" spans="2:3" ht="12.75">
      <c r="B7" s="67"/>
      <c r="C7" s="68"/>
    </row>
    <row r="8" spans="2:3" ht="4.5" customHeight="1">
      <c r="B8" s="67"/>
      <c r="C8" s="68"/>
    </row>
    <row r="9" spans="2:3" ht="15.75">
      <c r="B9" s="67"/>
      <c r="C9" s="69" t="s">
        <v>140</v>
      </c>
    </row>
    <row r="10" spans="2:3" ht="4.5" customHeight="1">
      <c r="B10" s="67"/>
      <c r="C10" s="69"/>
    </row>
    <row r="11" spans="2:3" ht="15">
      <c r="B11" s="67"/>
      <c r="C11" s="70" t="s">
        <v>370</v>
      </c>
    </row>
    <row r="12" spans="2:3" ht="4.5" customHeight="1">
      <c r="B12" s="67"/>
      <c r="C12" s="69"/>
    </row>
    <row r="13" spans="2:3" ht="14.25">
      <c r="B13" s="67"/>
      <c r="C13" s="71" t="s">
        <v>368</v>
      </c>
    </row>
    <row r="14" spans="2:3" ht="14.25">
      <c r="B14" s="67"/>
      <c r="C14" s="71" t="s">
        <v>369</v>
      </c>
    </row>
    <row r="15" spans="2:3" ht="4.5" customHeight="1">
      <c r="B15" s="67"/>
      <c r="C15" s="69"/>
    </row>
    <row r="16" spans="2:3" ht="12.75">
      <c r="B16" s="67"/>
      <c r="C16" s="72" t="s">
        <v>166</v>
      </c>
    </row>
    <row r="17" spans="2:3" ht="12.75">
      <c r="B17" s="67"/>
      <c r="C17" s="72" t="s">
        <v>165</v>
      </c>
    </row>
    <row r="18" spans="2:3" ht="4.5" customHeight="1">
      <c r="B18" s="67"/>
      <c r="C18" s="69"/>
    </row>
    <row r="19" spans="2:3" ht="33.75">
      <c r="B19" s="67"/>
      <c r="C19" s="73" t="s">
        <v>311</v>
      </c>
    </row>
    <row r="20" spans="2:3" ht="9" customHeight="1">
      <c r="B20" s="74"/>
      <c r="C20" s="75"/>
    </row>
    <row r="26" ht="12.75">
      <c r="C26" s="250"/>
    </row>
  </sheetData>
  <sheetProtection password="8BC1" sheet="1" objects="1" scenarios="1"/>
  <hyperlinks>
    <hyperlink ref="C17" r:id="rId1" display="www.heluz.cz"/>
    <hyperlink ref="C16" r:id="rId2" display="concrete.fsv.cvut.cz/~kosatka/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Pjotr</dc:creator>
  <cp:keywords/>
  <dc:description/>
  <cp:lastModifiedBy>Pjotr</cp:lastModifiedBy>
  <cp:lastPrinted>2011-02-05T10:36:08Z</cp:lastPrinted>
  <dcterms:created xsi:type="dcterms:W3CDTF">2010-08-10T13:05:10Z</dcterms:created>
  <dcterms:modified xsi:type="dcterms:W3CDTF">2011-02-07T12:52:35Z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